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933"/>
  </bookViews>
  <sheets>
    <sheet name="сторонние" sheetId="5" r:id="rId1"/>
    <sheet name="Дамский заезд 2" sheetId="6" state="hidden" r:id="rId2"/>
    <sheet name="Лист2" sheetId="7" state="hidden" r:id="rId3"/>
    <sheet name="пол ст-ть ЛПК 2" sheetId="8" state="hidden" r:id="rId4"/>
    <sheet name="ст-ть ЛПК 2" sheetId="9" state="hidden" r:id="rId5"/>
    <sheet name="сторонние 2" sheetId="10" state="hidden" r:id="rId6"/>
    <sheet name="озд. путевки по нозологиям" sheetId="15" state="hidden" r:id="rId7"/>
    <sheet name="преск сторонние по нозологиям %" sheetId="16" state="hidden" r:id="rId8"/>
    <sheet name="прейс стор по нозологиям" sheetId="17" state="hidden" r:id="rId9"/>
    <sheet name="оздоровительные программы 2018" sheetId="18" state="hidden" r:id="rId10"/>
    <sheet name="прейс озд. прог.2018 Монди полн" sheetId="19" state="hidden" r:id="rId11"/>
    <sheet name="прейс озд прог.Монди 0,2" sheetId="21" state="hidden" r:id="rId12"/>
    <sheet name="% леч Монди" sheetId="23" state="hidden" r:id="rId13"/>
    <sheet name="оздоровительная программа ножки" sheetId="24" state="hidden" r:id="rId14"/>
  </sheets>
  <definedNames>
    <definedName name="_xlnm.Print_Area" localSheetId="12">'% леч Монди'!$A$1:$D$44</definedName>
    <definedName name="_xlnm.Print_Area" localSheetId="1">'Дамский заезд 2'!$A$1:$E$90</definedName>
    <definedName name="_xlnm.Print_Area" localSheetId="9">'оздоровительные программы 2018'!$A$1:$E$54</definedName>
    <definedName name="_xlnm.Print_Area" localSheetId="3">'пол ст-ть ЛПК 2'!$A$1:$P$64</definedName>
    <definedName name="_xlnm.Print_Area" localSheetId="11">'прейс озд прог.Монди 0,2'!$A$1:$D$48</definedName>
    <definedName name="_xlnm.Print_Area" localSheetId="10">'прейс озд. прог.2018 Монди полн'!$A$1:$C$44</definedName>
    <definedName name="_xlnm.Print_Area" localSheetId="8">'прейс стор по нозологиям'!$A$1:$D$60</definedName>
    <definedName name="_xlnm.Print_Area" localSheetId="7">'преск сторонние по нозологиям %'!$A$1:$D$56</definedName>
    <definedName name="_xlnm.Print_Area" localSheetId="0">сторонние!$A$1:$L$63</definedName>
    <definedName name="_xlnm.Print_Area" localSheetId="5">'сторонние 2'!$A$1:$Q$66</definedName>
    <definedName name="_xlnm.Print_Area" localSheetId="4">'ст-ть ЛПК 2'!$A$1:$Q$60</definedName>
  </definedNames>
  <calcPr calcId="145621"/>
</workbook>
</file>

<file path=xl/calcChain.xml><?xml version="1.0" encoding="utf-8"?>
<calcChain xmlns="http://schemas.openxmlformats.org/spreadsheetml/2006/main">
  <c r="C24" i="5" l="1"/>
  <c r="D24" i="5"/>
  <c r="E24" i="5"/>
  <c r="F24" i="5"/>
  <c r="G24" i="5"/>
  <c r="H24" i="5"/>
  <c r="I24" i="5" s="1"/>
  <c r="C10" i="24" l="1"/>
  <c r="E10" i="24" s="1"/>
  <c r="E9" i="24"/>
  <c r="C8" i="24"/>
  <c r="E8" i="24" s="1"/>
  <c r="C7" i="24"/>
  <c r="E7" i="24" s="1"/>
  <c r="C6" i="24"/>
  <c r="E6" i="24" s="1"/>
  <c r="C5" i="24"/>
  <c r="E5" i="24" s="1"/>
  <c r="E11" i="24" s="1"/>
  <c r="E12" i="24" s="1"/>
  <c r="F11" i="24" l="1"/>
  <c r="E13" i="24"/>
  <c r="E14" i="24" s="1"/>
  <c r="D31" i="21"/>
  <c r="F31" i="21" l="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16" i="21"/>
  <c r="C17" i="19"/>
  <c r="J48" i="19"/>
  <c r="C17" i="16"/>
  <c r="D17" i="16"/>
  <c r="H66" i="17"/>
  <c r="F66" i="17"/>
  <c r="G66" i="17" s="1"/>
  <c r="I66" i="17"/>
  <c r="K66" i="17"/>
  <c r="M66" i="17"/>
  <c r="F67" i="17"/>
  <c r="G67" i="17" s="1"/>
  <c r="F68" i="17"/>
  <c r="G68" i="17" s="1"/>
  <c r="F69" i="17"/>
  <c r="G69" i="17" s="1"/>
  <c r="F70" i="17"/>
  <c r="G70" i="17" s="1"/>
  <c r="H70" i="17" s="1"/>
  <c r="F71" i="17"/>
  <c r="G71" i="17" s="1"/>
  <c r="F72" i="17"/>
  <c r="G72" i="17" s="1"/>
  <c r="F73" i="17"/>
  <c r="G73" i="17" s="1"/>
  <c r="F74" i="17"/>
  <c r="G74" i="17" s="1"/>
  <c r="H74" i="17" s="1"/>
  <c r="F75" i="17"/>
  <c r="G75" i="17" s="1"/>
  <c r="F76" i="17"/>
  <c r="G76" i="17" s="1"/>
  <c r="F77" i="17"/>
  <c r="G77" i="17" s="1"/>
  <c r="F78" i="17"/>
  <c r="G78" i="17" s="1"/>
  <c r="H78" i="17" s="1"/>
  <c r="F79" i="17"/>
  <c r="G79" i="17" s="1"/>
  <c r="F80" i="17"/>
  <c r="G80" i="17" s="1"/>
  <c r="F81" i="17"/>
  <c r="G81" i="17" s="1"/>
  <c r="F82" i="17"/>
  <c r="G82" i="17" s="1"/>
  <c r="H82" i="17" s="1"/>
  <c r="F83" i="17"/>
  <c r="G83" i="17" s="1"/>
  <c r="F84" i="17"/>
  <c r="G84" i="17" s="1"/>
  <c r="F85" i="17"/>
  <c r="G85" i="17" s="1"/>
  <c r="F86" i="17"/>
  <c r="G86" i="17" s="1"/>
  <c r="H86" i="17" s="1"/>
  <c r="F87" i="17"/>
  <c r="G87" i="17" s="1"/>
  <c r="F88" i="17"/>
  <c r="G88" i="17" s="1"/>
  <c r="F89" i="17"/>
  <c r="G89" i="17" s="1"/>
  <c r="F90" i="17"/>
  <c r="G90" i="17" s="1"/>
  <c r="H90" i="17" s="1"/>
  <c r="F91" i="17"/>
  <c r="G91" i="17" s="1"/>
  <c r="F92" i="17"/>
  <c r="G92" i="17" s="1"/>
  <c r="F93" i="17"/>
  <c r="G93" i="17" s="1"/>
  <c r="F94" i="17"/>
  <c r="G94" i="17" s="1"/>
  <c r="H94" i="17" s="1"/>
  <c r="F95" i="17"/>
  <c r="G95" i="17" s="1"/>
  <c r="F96" i="17"/>
  <c r="G96" i="17" s="1"/>
  <c r="F97" i="17"/>
  <c r="G97" i="17" s="1"/>
  <c r="J66" i="17" l="1"/>
  <c r="C17" i="17"/>
  <c r="D17" i="17" s="1"/>
  <c r="J97" i="17"/>
  <c r="L97" i="17"/>
  <c r="H97" i="17"/>
  <c r="H87" i="17"/>
  <c r="L87" i="17"/>
  <c r="J87" i="17"/>
  <c r="L84" i="17"/>
  <c r="H84" i="17"/>
  <c r="J84" i="17"/>
  <c r="J81" i="17"/>
  <c r="L81" i="17"/>
  <c r="H81" i="17"/>
  <c r="H71" i="17"/>
  <c r="J71" i="17"/>
  <c r="L71" i="17"/>
  <c r="L68" i="17"/>
  <c r="H68" i="17"/>
  <c r="J68" i="17"/>
  <c r="L96" i="17"/>
  <c r="H96" i="17"/>
  <c r="J96" i="17"/>
  <c r="H93" i="17"/>
  <c r="J93" i="17"/>
  <c r="L93" i="17"/>
  <c r="H83" i="17"/>
  <c r="J83" i="17"/>
  <c r="L83" i="17"/>
  <c r="L80" i="17"/>
  <c r="H80" i="17"/>
  <c r="J80" i="17"/>
  <c r="J77" i="17"/>
  <c r="L77" i="17"/>
  <c r="H77" i="17"/>
  <c r="H67" i="17"/>
  <c r="J67" i="17"/>
  <c r="L67" i="17"/>
  <c r="L95" i="17"/>
  <c r="H95" i="17"/>
  <c r="J95" i="17"/>
  <c r="L92" i="17"/>
  <c r="H92" i="17"/>
  <c r="J92" i="17"/>
  <c r="J89" i="17"/>
  <c r="L89" i="17"/>
  <c r="H89" i="17"/>
  <c r="L79" i="17"/>
  <c r="H79" i="17"/>
  <c r="J79" i="17"/>
  <c r="L76" i="17"/>
  <c r="H76" i="17"/>
  <c r="J76" i="17"/>
  <c r="J73" i="17"/>
  <c r="L73" i="17"/>
  <c r="H73" i="17"/>
  <c r="H91" i="17"/>
  <c r="L91" i="17"/>
  <c r="J91" i="17"/>
  <c r="L88" i="17"/>
  <c r="H88" i="17"/>
  <c r="J88" i="17"/>
  <c r="J85" i="17"/>
  <c r="L85" i="17"/>
  <c r="H85" i="17"/>
  <c r="L75" i="17"/>
  <c r="H75" i="17"/>
  <c r="J75" i="17"/>
  <c r="L72" i="17"/>
  <c r="H72" i="17"/>
  <c r="J72" i="17"/>
  <c r="J69" i="17"/>
  <c r="L69" i="17"/>
  <c r="H69" i="17"/>
  <c r="L94" i="17"/>
  <c r="L90" i="17"/>
  <c r="L86" i="17"/>
  <c r="L82" i="17"/>
  <c r="L78" i="17"/>
  <c r="L74" i="17"/>
  <c r="L70" i="17"/>
  <c r="J94" i="17"/>
  <c r="J90" i="17"/>
  <c r="J86" i="17"/>
  <c r="J82" i="17"/>
  <c r="J78" i="17"/>
  <c r="J74" i="17"/>
  <c r="J70" i="17"/>
  <c r="L66" i="17"/>
  <c r="H17" i="21" l="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16" i="21"/>
  <c r="F20" i="21"/>
  <c r="F25" i="21"/>
  <c r="F30" i="21"/>
  <c r="E34" i="18"/>
  <c r="E35" i="18"/>
  <c r="E33" i="18"/>
  <c r="E32" i="18"/>
  <c r="E19" i="18"/>
  <c r="E20" i="18" s="1"/>
  <c r="E17" i="18"/>
  <c r="E50" i="18"/>
  <c r="E51" i="18" s="1"/>
  <c r="E52" i="18"/>
  <c r="E53" i="18"/>
  <c r="E18" i="18"/>
  <c r="E14" i="16" l="1"/>
  <c r="E32" i="15"/>
  <c r="E23" i="15"/>
  <c r="E13" i="15"/>
  <c r="F14" i="16" l="1"/>
  <c r="P20" i="21" l="1"/>
  <c r="Q20" i="21"/>
  <c r="R20" i="21"/>
  <c r="S20" i="21"/>
  <c r="T20" i="21"/>
  <c r="U20" i="21"/>
  <c r="P25" i="21"/>
  <c r="Q25" i="21"/>
  <c r="R25" i="21"/>
  <c r="S25" i="21"/>
  <c r="T25" i="21"/>
  <c r="U25" i="21"/>
  <c r="P30" i="21"/>
  <c r="Q30" i="21"/>
  <c r="R30" i="21"/>
  <c r="S30" i="21"/>
  <c r="T30" i="21"/>
  <c r="U30" i="21"/>
  <c r="AH55" i="21"/>
  <c r="AJ55" i="21"/>
  <c r="AH56" i="21"/>
  <c r="AJ56" i="21"/>
  <c r="AH57" i="21"/>
  <c r="AJ57" i="21"/>
  <c r="AH58" i="21"/>
  <c r="AJ58" i="21"/>
  <c r="AH59" i="21"/>
  <c r="AJ59" i="21"/>
  <c r="AH60" i="21"/>
  <c r="AJ60" i="21"/>
  <c r="AH61" i="21"/>
  <c r="AJ61" i="21"/>
  <c r="AH62" i="21"/>
  <c r="AJ62" i="21"/>
  <c r="AH63" i="21"/>
  <c r="AJ63" i="21"/>
  <c r="AH64" i="21"/>
  <c r="AJ64" i="21"/>
  <c r="AH65" i="21"/>
  <c r="AJ65" i="21"/>
  <c r="AH66" i="21"/>
  <c r="AJ66" i="21"/>
  <c r="AH67" i="21"/>
  <c r="AJ67" i="21"/>
  <c r="AH68" i="21"/>
  <c r="AJ68" i="21"/>
  <c r="AH69" i="21"/>
  <c r="AJ69" i="21"/>
  <c r="AH70" i="21"/>
  <c r="AJ70" i="21"/>
  <c r="AH71" i="21"/>
  <c r="AJ71" i="21"/>
  <c r="AH72" i="21"/>
  <c r="AJ72" i="21"/>
  <c r="C5" i="18" l="1"/>
  <c r="C7" i="18"/>
  <c r="C22" i="18"/>
  <c r="L21" i="19"/>
  <c r="M21" i="19"/>
  <c r="N21" i="19"/>
  <c r="L26" i="19"/>
  <c r="M26" i="19"/>
  <c r="N26" i="19"/>
  <c r="L31" i="19"/>
  <c r="M31" i="19"/>
  <c r="N31" i="19"/>
  <c r="I49" i="19"/>
  <c r="J49" i="19" s="1"/>
  <c r="I50" i="19"/>
  <c r="J50" i="19" s="1"/>
  <c r="I51" i="19"/>
  <c r="J51" i="19" s="1"/>
  <c r="I52" i="19"/>
  <c r="J52" i="19" s="1"/>
  <c r="I53" i="19"/>
  <c r="J53" i="19" s="1"/>
  <c r="I54" i="19"/>
  <c r="J54" i="19" s="1"/>
  <c r="I55" i="19"/>
  <c r="J55" i="19" s="1"/>
  <c r="I56" i="19"/>
  <c r="J56" i="19" s="1"/>
  <c r="I57" i="19"/>
  <c r="J57" i="19" s="1"/>
  <c r="I58" i="19"/>
  <c r="J58" i="19" s="1"/>
  <c r="I59" i="19"/>
  <c r="J59" i="19" s="1"/>
  <c r="I60" i="19"/>
  <c r="J60" i="19" s="1"/>
  <c r="I61" i="19"/>
  <c r="J61" i="19" s="1"/>
  <c r="I62" i="19"/>
  <c r="J62" i="19" s="1"/>
  <c r="I63" i="19"/>
  <c r="J63" i="19" s="1"/>
  <c r="I64" i="19"/>
  <c r="J64" i="19" s="1"/>
  <c r="I65" i="19"/>
  <c r="J65" i="19" s="1"/>
  <c r="I48" i="19"/>
  <c r="E5" i="18" l="1"/>
  <c r="E24" i="18"/>
  <c r="C39" i="18"/>
  <c r="E39" i="18" s="1"/>
  <c r="C24" i="18"/>
  <c r="C38" i="18"/>
  <c r="C6" i="18"/>
  <c r="C29" i="18"/>
  <c r="Q65" i="23" l="1"/>
  <c r="N65" i="23"/>
  <c r="O65" i="23" s="1"/>
  <c r="Q64" i="23"/>
  <c r="N64" i="23"/>
  <c r="O64" i="23" s="1"/>
  <c r="Q63" i="23"/>
  <c r="N63" i="23"/>
  <c r="O63" i="23" s="1"/>
  <c r="Q62" i="23"/>
  <c r="N62" i="23"/>
  <c r="O62" i="23" s="1"/>
  <c r="Q61" i="23"/>
  <c r="N61" i="23"/>
  <c r="O61" i="23" s="1"/>
  <c r="Q60" i="23"/>
  <c r="N60" i="23"/>
  <c r="O60" i="23" s="1"/>
  <c r="Q59" i="23"/>
  <c r="N59" i="23"/>
  <c r="O59" i="23" s="1"/>
  <c r="Q58" i="23"/>
  <c r="N58" i="23"/>
  <c r="O58" i="23" s="1"/>
  <c r="Q57" i="23"/>
  <c r="N57" i="23"/>
  <c r="O57" i="23" s="1"/>
  <c r="Q56" i="23"/>
  <c r="N56" i="23"/>
  <c r="O56" i="23" s="1"/>
  <c r="Q55" i="23"/>
  <c r="N55" i="23"/>
  <c r="O55" i="23" s="1"/>
  <c r="Q54" i="23"/>
  <c r="N54" i="23"/>
  <c r="O54" i="23" s="1"/>
  <c r="Q53" i="23"/>
  <c r="N53" i="23"/>
  <c r="O53" i="23" s="1"/>
  <c r="Q52" i="23"/>
  <c r="N52" i="23"/>
  <c r="O52" i="23" s="1"/>
  <c r="Q51" i="23"/>
  <c r="N51" i="23"/>
  <c r="O51" i="23" s="1"/>
  <c r="Q50" i="23"/>
  <c r="N50" i="23"/>
  <c r="O50" i="23" s="1"/>
  <c r="Q49" i="23"/>
  <c r="N49" i="23"/>
  <c r="O49" i="23" s="1"/>
  <c r="Q48" i="23"/>
  <c r="N48" i="23"/>
  <c r="O48" i="23" s="1"/>
  <c r="C28" i="18" l="1"/>
  <c r="C44" i="18" l="1"/>
  <c r="D31" i="18" l="1"/>
  <c r="C31" i="18"/>
  <c r="C10" i="18"/>
  <c r="C49" i="18"/>
  <c r="E49" i="18" s="1"/>
  <c r="C48" i="18"/>
  <c r="C47" i="18"/>
  <c r="E47" i="18" s="1"/>
  <c r="C16" i="18"/>
  <c r="C15" i="18"/>
  <c r="C14" i="18"/>
  <c r="C13" i="18"/>
  <c r="C43" i="18"/>
  <c r="E29" i="18"/>
  <c r="C26" i="18"/>
  <c r="C23" i="18"/>
  <c r="E48" i="18"/>
  <c r="D46" i="18"/>
  <c r="E46" i="18" s="1"/>
  <c r="C42" i="18"/>
  <c r="E42" i="18" s="1"/>
  <c r="E31" i="18"/>
  <c r="E28" i="18"/>
  <c r="E13" i="18"/>
  <c r="E14" i="18"/>
  <c r="E15" i="18"/>
  <c r="E16" i="18"/>
  <c r="D12" i="18"/>
  <c r="E12" i="18" s="1"/>
  <c r="E38" i="18"/>
  <c r="E44" i="18" l="1"/>
  <c r="C27" i="18"/>
  <c r="E27" i="18" s="1"/>
  <c r="E22" i="18"/>
  <c r="C37" i="18"/>
  <c r="E37" i="18" s="1"/>
  <c r="E43" i="18"/>
  <c r="C8" i="18"/>
  <c r="E26" i="18" s="1"/>
  <c r="C40" i="18" l="1"/>
  <c r="E40" i="18" s="1"/>
  <c r="E23" i="18"/>
  <c r="E10" i="18"/>
  <c r="E9" i="18"/>
  <c r="E8" i="18"/>
  <c r="E7" i="18"/>
  <c r="E6" i="18"/>
  <c r="F11" i="23" l="1"/>
  <c r="C27" i="15"/>
  <c r="C28" i="15"/>
  <c r="C5" i="15"/>
  <c r="C6" i="15"/>
  <c r="C7" i="15"/>
  <c r="C8" i="15"/>
  <c r="T16" i="21" l="1"/>
  <c r="C18" i="19"/>
  <c r="R23" i="21"/>
  <c r="R18" i="21"/>
  <c r="R28" i="21"/>
  <c r="C19" i="19"/>
  <c r="C29" i="19"/>
  <c r="C24" i="19"/>
  <c r="C22" i="19"/>
  <c r="C30" i="19"/>
  <c r="C33" i="19"/>
  <c r="C20" i="19"/>
  <c r="C27" i="19"/>
  <c r="C25" i="19"/>
  <c r="C28" i="19"/>
  <c r="C23" i="19"/>
  <c r="C34" i="19"/>
  <c r="C32" i="19"/>
  <c r="T18" i="21"/>
  <c r="T28" i="21"/>
  <c r="T23" i="21"/>
  <c r="R33" i="21"/>
  <c r="R31" i="21"/>
  <c r="R26" i="21"/>
  <c r="R21" i="21"/>
  <c r="R32" i="21"/>
  <c r="R29" i="21"/>
  <c r="R27" i="21"/>
  <c r="R24" i="21"/>
  <c r="R22" i="21"/>
  <c r="R19" i="21"/>
  <c r="R17" i="21"/>
  <c r="T32" i="21"/>
  <c r="T31" i="21"/>
  <c r="T27" i="21"/>
  <c r="T24" i="21"/>
  <c r="T22" i="21"/>
  <c r="T19" i="21"/>
  <c r="T17" i="21"/>
  <c r="T33" i="21"/>
  <c r="T29" i="21"/>
  <c r="T26" i="21"/>
  <c r="T21" i="21"/>
  <c r="C25" i="15"/>
  <c r="C18" i="15"/>
  <c r="C19" i="15"/>
  <c r="C16" i="15"/>
  <c r="C17" i="15"/>
  <c r="C15" i="15"/>
  <c r="E6" i="15"/>
  <c r="E7" i="15"/>
  <c r="E8" i="15"/>
  <c r="E9" i="15"/>
  <c r="E10" i="15"/>
  <c r="F63" i="16"/>
  <c r="G63" i="16" s="1"/>
  <c r="F64" i="16"/>
  <c r="G64" i="16" s="1"/>
  <c r="F65" i="16"/>
  <c r="G65" i="16" s="1"/>
  <c r="F66" i="16"/>
  <c r="G66" i="16" s="1"/>
  <c r="F67" i="16"/>
  <c r="G67" i="16" s="1"/>
  <c r="F68" i="16"/>
  <c r="G68" i="16" s="1"/>
  <c r="F69" i="16"/>
  <c r="G69" i="16" s="1"/>
  <c r="F70" i="16"/>
  <c r="G70" i="16" s="1"/>
  <c r="F71" i="16"/>
  <c r="G71" i="16" s="1"/>
  <c r="F72" i="16"/>
  <c r="G72" i="16" s="1"/>
  <c r="F73" i="16"/>
  <c r="G73" i="16" s="1"/>
  <c r="F74" i="16"/>
  <c r="G74" i="16" s="1"/>
  <c r="F75" i="16"/>
  <c r="G75" i="16" s="1"/>
  <c r="F76" i="16"/>
  <c r="G76" i="16" s="1"/>
  <c r="F77" i="16"/>
  <c r="G77" i="16" s="1"/>
  <c r="F78" i="16"/>
  <c r="G78" i="16" s="1"/>
  <c r="F79" i="16"/>
  <c r="G79" i="16" s="1"/>
  <c r="F80" i="16"/>
  <c r="G80" i="16" s="1"/>
  <c r="F81" i="16"/>
  <c r="G81" i="16" s="1"/>
  <c r="F82" i="16"/>
  <c r="G82" i="16" s="1"/>
  <c r="F83" i="16"/>
  <c r="G83" i="16" s="1"/>
  <c r="F84" i="16"/>
  <c r="G84" i="16" s="1"/>
  <c r="F85" i="16"/>
  <c r="G85" i="16" s="1"/>
  <c r="F86" i="16"/>
  <c r="G86" i="16" s="1"/>
  <c r="F87" i="16"/>
  <c r="G87" i="16" s="1"/>
  <c r="F88" i="16"/>
  <c r="G88" i="16" s="1"/>
  <c r="F89" i="16"/>
  <c r="G89" i="16" s="1"/>
  <c r="F90" i="16"/>
  <c r="G90" i="16" s="1"/>
  <c r="F91" i="16"/>
  <c r="G91" i="16" s="1"/>
  <c r="F92" i="16"/>
  <c r="G92" i="16" s="1"/>
  <c r="F93" i="16"/>
  <c r="G93" i="16" s="1"/>
  <c r="F62" i="16"/>
  <c r="G62" i="16" s="1"/>
  <c r="C31" i="21" l="1"/>
  <c r="C32" i="23" s="1"/>
  <c r="C32" i="21"/>
  <c r="C33" i="23" s="1"/>
  <c r="C33" i="21"/>
  <c r="C26" i="21"/>
  <c r="C29" i="21"/>
  <c r="C18" i="21"/>
  <c r="D18" i="21" s="1"/>
  <c r="C28" i="21"/>
  <c r="D28" i="21" s="1"/>
  <c r="F28" i="21" s="1"/>
  <c r="C22" i="21"/>
  <c r="C19" i="21"/>
  <c r="D19" i="21" s="1"/>
  <c r="F19" i="21" s="1"/>
  <c r="C21" i="21"/>
  <c r="C17" i="21"/>
  <c r="D17" i="21" s="1"/>
  <c r="C24" i="21"/>
  <c r="C27" i="21"/>
  <c r="F17" i="19"/>
  <c r="C23" i="21"/>
  <c r="D23" i="21" s="1"/>
  <c r="F23" i="21" s="1"/>
  <c r="M17" i="19"/>
  <c r="L17" i="19"/>
  <c r="C16" i="21"/>
  <c r="P19" i="21"/>
  <c r="N34" i="19"/>
  <c r="N25" i="19"/>
  <c r="M18" i="19"/>
  <c r="M28" i="19"/>
  <c r="M22" i="19"/>
  <c r="N24" i="19"/>
  <c r="N29" i="19"/>
  <c r="F23" i="19"/>
  <c r="L23" i="19"/>
  <c r="F20" i="19"/>
  <c r="L20" i="19"/>
  <c r="F22" i="19"/>
  <c r="L22" i="19"/>
  <c r="M24" i="19"/>
  <c r="N22" i="19"/>
  <c r="N18" i="19"/>
  <c r="N28" i="19"/>
  <c r="M20" i="19"/>
  <c r="M30" i="19"/>
  <c r="M27" i="19"/>
  <c r="N19" i="19"/>
  <c r="F28" i="19"/>
  <c r="L28" i="19"/>
  <c r="F24" i="19"/>
  <c r="L24" i="19"/>
  <c r="F29" i="19"/>
  <c r="L29" i="19"/>
  <c r="F18" i="19"/>
  <c r="L18" i="19"/>
  <c r="N27" i="19"/>
  <c r="N20" i="19"/>
  <c r="N32" i="19"/>
  <c r="M23" i="19"/>
  <c r="M33" i="19"/>
  <c r="M32" i="19"/>
  <c r="F32" i="19"/>
  <c r="L32" i="19"/>
  <c r="F25" i="19"/>
  <c r="L25" i="19"/>
  <c r="F33" i="19"/>
  <c r="L33" i="19"/>
  <c r="F19" i="19"/>
  <c r="L19" i="19"/>
  <c r="M29" i="19"/>
  <c r="N17" i="19"/>
  <c r="N30" i="19"/>
  <c r="N23" i="19"/>
  <c r="N33" i="19"/>
  <c r="M25" i="19"/>
  <c r="M34" i="19"/>
  <c r="F34" i="19"/>
  <c r="L34" i="19"/>
  <c r="F27" i="19"/>
  <c r="L27" i="19"/>
  <c r="F30" i="19"/>
  <c r="L30" i="19"/>
  <c r="M19" i="19"/>
  <c r="C23" i="23"/>
  <c r="C25" i="23"/>
  <c r="C26" i="15"/>
  <c r="E19" i="15"/>
  <c r="E20" i="15"/>
  <c r="E17" i="15"/>
  <c r="E18" i="15"/>
  <c r="C19" i="23" l="1"/>
  <c r="D24" i="21"/>
  <c r="F24" i="21" s="1"/>
  <c r="D22" i="21"/>
  <c r="F22" i="21" s="1"/>
  <c r="D26" i="21"/>
  <c r="F26" i="21" s="1"/>
  <c r="D33" i="21"/>
  <c r="F33" i="21" s="1"/>
  <c r="C17" i="23"/>
  <c r="D16" i="21"/>
  <c r="F21" i="21"/>
  <c r="D21" i="21"/>
  <c r="D32" i="21"/>
  <c r="F32" i="21" s="1"/>
  <c r="D27" i="21"/>
  <c r="F27" i="21" s="1"/>
  <c r="D29" i="21"/>
  <c r="F29" i="21" s="1"/>
  <c r="Q17" i="21"/>
  <c r="F17" i="21"/>
  <c r="Q18" i="21"/>
  <c r="F18" i="21"/>
  <c r="Q19" i="21"/>
  <c r="C30" i="23"/>
  <c r="C20" i="23"/>
  <c r="C28" i="23"/>
  <c r="C34" i="23"/>
  <c r="C18" i="23"/>
  <c r="P32" i="21"/>
  <c r="P33" i="21"/>
  <c r="P18" i="21"/>
  <c r="P17" i="21"/>
  <c r="C24" i="23"/>
  <c r="C27" i="23"/>
  <c r="P24" i="21"/>
  <c r="P23" i="21"/>
  <c r="P27" i="21"/>
  <c r="P21" i="21"/>
  <c r="P28" i="21"/>
  <c r="P26" i="21"/>
  <c r="C29" i="23"/>
  <c r="C22" i="23"/>
  <c r="P22" i="21"/>
  <c r="P29" i="21"/>
  <c r="P31" i="21"/>
  <c r="D18" i="23"/>
  <c r="D19" i="23"/>
  <c r="D20" i="23"/>
  <c r="R16" i="21"/>
  <c r="P16" i="21"/>
  <c r="D28" i="23"/>
  <c r="Q27" i="21"/>
  <c r="D32" i="23"/>
  <c r="Q31" i="21"/>
  <c r="D24" i="23"/>
  <c r="Q23" i="21"/>
  <c r="D33" i="23"/>
  <c r="Q32" i="21"/>
  <c r="D29" i="23"/>
  <c r="Q28" i="21"/>
  <c r="D25" i="23"/>
  <c r="Q24" i="21"/>
  <c r="D27" i="23"/>
  <c r="Q26" i="21"/>
  <c r="D22" i="23"/>
  <c r="Q21" i="21"/>
  <c r="D23" i="23"/>
  <c r="Q22" i="21"/>
  <c r="D17" i="23"/>
  <c r="U33" i="21"/>
  <c r="U32" i="21"/>
  <c r="U31" i="21"/>
  <c r="U27" i="21"/>
  <c r="U29" i="21"/>
  <c r="U28" i="21"/>
  <c r="U26" i="21"/>
  <c r="U23" i="21"/>
  <c r="U22" i="21"/>
  <c r="U24" i="21"/>
  <c r="U21" i="21"/>
  <c r="U18" i="21"/>
  <c r="U17" i="21"/>
  <c r="U19" i="21"/>
  <c r="U16" i="21"/>
  <c r="S32" i="21"/>
  <c r="S33" i="21"/>
  <c r="S31" i="21"/>
  <c r="S28" i="21"/>
  <c r="S27" i="21"/>
  <c r="S29" i="21"/>
  <c r="S26" i="21"/>
  <c r="S24" i="21"/>
  <c r="S23" i="21"/>
  <c r="S22" i="21"/>
  <c r="S21" i="21"/>
  <c r="S19" i="21"/>
  <c r="S17" i="21"/>
  <c r="S18" i="21"/>
  <c r="S16" i="21"/>
  <c r="E29" i="15"/>
  <c r="E28" i="15"/>
  <c r="E27" i="15"/>
  <c r="E26" i="15"/>
  <c r="E25" i="15"/>
  <c r="E16" i="15"/>
  <c r="E15" i="15"/>
  <c r="E5" i="15"/>
  <c r="Q29" i="21" l="1"/>
  <c r="D30" i="23"/>
  <c r="Q33" i="21"/>
  <c r="D34" i="23"/>
  <c r="Q16" i="21"/>
  <c r="F16" i="21"/>
  <c r="E30" i="15"/>
  <c r="E21" i="15"/>
  <c r="E11" i="15"/>
  <c r="E22" i="15" l="1"/>
  <c r="E12" i="15"/>
  <c r="E31" i="15"/>
  <c r="I62" i="16" l="1"/>
  <c r="H62" i="16" s="1"/>
  <c r="M62" i="16"/>
  <c r="L72" i="16" s="1"/>
  <c r="K62" i="16"/>
  <c r="L90" i="16"/>
  <c r="L88" i="16"/>
  <c r="L71" i="16"/>
  <c r="C41" i="17"/>
  <c r="C41" i="16" s="1"/>
  <c r="C40" i="17"/>
  <c r="C38" i="17"/>
  <c r="C37" i="17"/>
  <c r="C37" i="16" s="1"/>
  <c r="D37" i="16" s="1"/>
  <c r="C35" i="17"/>
  <c r="C35" i="16" s="1"/>
  <c r="C34" i="17"/>
  <c r="C33" i="17"/>
  <c r="C33" i="16" s="1"/>
  <c r="C32" i="17"/>
  <c r="C30" i="17"/>
  <c r="C29" i="17"/>
  <c r="C29" i="16" s="1"/>
  <c r="C28" i="17"/>
  <c r="C27" i="17"/>
  <c r="C27" i="16" s="1"/>
  <c r="C25" i="17"/>
  <c r="C25" i="16" s="1"/>
  <c r="C24" i="17"/>
  <c r="C23" i="17"/>
  <c r="C23" i="16" s="1"/>
  <c r="C22" i="17"/>
  <c r="C19" i="17"/>
  <c r="C19" i="16" s="1"/>
  <c r="C47" i="17"/>
  <c r="C47" i="16" s="1"/>
  <c r="C44" i="17"/>
  <c r="C20" i="17"/>
  <c r="C18" i="17"/>
  <c r="C43" i="17"/>
  <c r="C43" i="16" s="1"/>
  <c r="C46" i="17"/>
  <c r="C48" i="17"/>
  <c r="L78" i="16" l="1"/>
  <c r="L79" i="16"/>
  <c r="L91" i="16"/>
  <c r="L63" i="16"/>
  <c r="L68" i="16"/>
  <c r="L87" i="16"/>
  <c r="L65" i="16"/>
  <c r="L73" i="16"/>
  <c r="L93" i="16"/>
  <c r="L80" i="16"/>
  <c r="L92" i="16"/>
  <c r="L67" i="16"/>
  <c r="L75" i="16"/>
  <c r="L85" i="16"/>
  <c r="L64" i="16"/>
  <c r="L82" i="16"/>
  <c r="L62" i="16"/>
  <c r="L76" i="16"/>
  <c r="L69" i="16"/>
  <c r="L77" i="16"/>
  <c r="L89" i="16"/>
  <c r="L66" i="16"/>
  <c r="L74" i="16"/>
  <c r="L86" i="16"/>
  <c r="L81" i="16"/>
  <c r="L84" i="16"/>
  <c r="L83" i="16"/>
  <c r="L70" i="16"/>
  <c r="D48" i="17"/>
  <c r="C48" i="16"/>
  <c r="D46" i="17"/>
  <c r="C46" i="16"/>
  <c r="D46" i="16" s="1"/>
  <c r="D18" i="17"/>
  <c r="C18" i="16"/>
  <c r="D20" i="17"/>
  <c r="C20" i="16"/>
  <c r="D44" i="17"/>
  <c r="C44" i="16"/>
  <c r="D44" i="16" s="1"/>
  <c r="D19" i="16"/>
  <c r="D22" i="17"/>
  <c r="C22" i="16"/>
  <c r="D23" i="16"/>
  <c r="D24" i="17"/>
  <c r="C24" i="16"/>
  <c r="D25" i="16"/>
  <c r="D27" i="16"/>
  <c r="D28" i="17"/>
  <c r="C28" i="16"/>
  <c r="D29" i="16"/>
  <c r="D30" i="17"/>
  <c r="C30" i="16"/>
  <c r="D32" i="17"/>
  <c r="C32" i="16"/>
  <c r="D33" i="16"/>
  <c r="D34" i="17"/>
  <c r="C34" i="16"/>
  <c r="D35" i="16"/>
  <c r="D38" i="17"/>
  <c r="C38" i="16"/>
  <c r="D38" i="16" s="1"/>
  <c r="D40" i="17"/>
  <c r="C40" i="16"/>
  <c r="D40" i="16" s="1"/>
  <c r="D43" i="16"/>
  <c r="D47" i="16"/>
  <c r="D41" i="16"/>
  <c r="D43" i="17"/>
  <c r="D47" i="17"/>
  <c r="D27" i="17"/>
  <c r="D37" i="17"/>
  <c r="D33" i="17"/>
  <c r="D23" i="17"/>
  <c r="D29" i="17"/>
  <c r="D19" i="17"/>
  <c r="D25" i="17"/>
  <c r="D35" i="17"/>
  <c r="D41" i="17"/>
  <c r="J92" i="16"/>
  <c r="J88" i="16"/>
  <c r="J84" i="16"/>
  <c r="J80" i="16"/>
  <c r="J76" i="16"/>
  <c r="J72" i="16"/>
  <c r="J68" i="16"/>
  <c r="J64" i="16"/>
  <c r="J91" i="16"/>
  <c r="J87" i="16"/>
  <c r="J83" i="16"/>
  <c r="J79" i="16"/>
  <c r="J75" i="16"/>
  <c r="J71" i="16"/>
  <c r="J67" i="16"/>
  <c r="J63" i="16"/>
  <c r="J69" i="16"/>
  <c r="J62" i="16"/>
  <c r="J90" i="16"/>
  <c r="J86" i="16"/>
  <c r="J82" i="16"/>
  <c r="J78" i="16"/>
  <c r="J74" i="16"/>
  <c r="J70" i="16"/>
  <c r="J66" i="16"/>
  <c r="J93" i="16"/>
  <c r="J89" i="16"/>
  <c r="J85" i="16"/>
  <c r="J81" i="16"/>
  <c r="J77" i="16"/>
  <c r="J73" i="16"/>
  <c r="J65" i="16"/>
  <c r="H66" i="16"/>
  <c r="H93" i="16"/>
  <c r="H71" i="16"/>
  <c r="H92" i="16"/>
  <c r="H90" i="16"/>
  <c r="H88" i="16"/>
  <c r="H86" i="16"/>
  <c r="H84" i="16"/>
  <c r="H82" i="16"/>
  <c r="H80" i="16"/>
  <c r="H78" i="16"/>
  <c r="H76" i="16"/>
  <c r="H74" i="16"/>
  <c r="H72" i="16"/>
  <c r="H70" i="16"/>
  <c r="H68" i="16"/>
  <c r="H64" i="16"/>
  <c r="H91" i="16"/>
  <c r="H89" i="16"/>
  <c r="H87" i="16"/>
  <c r="H85" i="16"/>
  <c r="H83" i="16"/>
  <c r="H81" i="16"/>
  <c r="H79" i="16"/>
  <c r="H77" i="16"/>
  <c r="H75" i="16"/>
  <c r="H73" i="16"/>
  <c r="H69" i="16"/>
  <c r="H67" i="16"/>
  <c r="H65" i="16"/>
  <c r="H63" i="16"/>
  <c r="D34" i="16" l="1"/>
  <c r="D32" i="16"/>
  <c r="D30" i="16"/>
  <c r="D28" i="16"/>
  <c r="D24" i="16"/>
  <c r="D22" i="16"/>
  <c r="D20" i="16"/>
  <c r="D18" i="16"/>
  <c r="D48" i="16"/>
  <c r="C15" i="6" l="1"/>
  <c r="F51" i="10" l="1"/>
  <c r="F56" i="10"/>
  <c r="F61" i="10"/>
  <c r="E48" i="10"/>
  <c r="F48" i="10" s="1"/>
  <c r="Q16" i="10" s="1"/>
  <c r="E49" i="10"/>
  <c r="F49" i="10" s="1"/>
  <c r="Q17" i="10" s="1"/>
  <c r="E50" i="10"/>
  <c r="F50" i="10" s="1"/>
  <c r="Q18" i="10" s="1"/>
  <c r="E52" i="10"/>
  <c r="F52" i="10" s="1"/>
  <c r="Q20" i="10" s="1"/>
  <c r="E53" i="10"/>
  <c r="F53" i="10" s="1"/>
  <c r="Q21" i="10" s="1"/>
  <c r="E54" i="10"/>
  <c r="F54" i="10" s="1"/>
  <c r="Q22" i="10" s="1"/>
  <c r="E55" i="10"/>
  <c r="F55" i="10" s="1"/>
  <c r="Q23" i="10" s="1"/>
  <c r="E57" i="10"/>
  <c r="F57" i="10" s="1"/>
  <c r="Q25" i="10" s="1"/>
  <c r="E58" i="10"/>
  <c r="F58" i="10" s="1"/>
  <c r="Q26" i="10" s="1"/>
  <c r="E59" i="10"/>
  <c r="F59" i="10" s="1"/>
  <c r="Q27" i="10" s="1"/>
  <c r="E60" i="10"/>
  <c r="F60" i="10" s="1"/>
  <c r="Q28" i="10" s="1"/>
  <c r="E62" i="10"/>
  <c r="F62" i="10" s="1"/>
  <c r="C30" i="10" s="1"/>
  <c r="E63" i="10"/>
  <c r="F63" i="10" s="1"/>
  <c r="C31" i="10" s="1"/>
  <c r="E47" i="10"/>
  <c r="F47" i="10" s="1"/>
  <c r="Q15" i="10" s="1"/>
  <c r="E62" i="8"/>
  <c r="F62" i="8" s="1"/>
  <c r="P31" i="8" s="1"/>
  <c r="Q31" i="9" s="1"/>
  <c r="E63" i="8"/>
  <c r="F63" i="8" s="1"/>
  <c r="P32" i="8" s="1"/>
  <c r="Q32" i="9" s="1"/>
  <c r="E61" i="8"/>
  <c r="F61" i="8" s="1"/>
  <c r="P30" i="8" s="1"/>
  <c r="Q30" i="9" s="1"/>
  <c r="E30" i="10" l="1"/>
  <c r="E31" i="10"/>
  <c r="G30" i="10"/>
  <c r="G31" i="10"/>
  <c r="I30" i="10"/>
  <c r="I31" i="10"/>
  <c r="K30" i="10"/>
  <c r="K31" i="10"/>
  <c r="M30" i="10"/>
  <c r="M31" i="10"/>
  <c r="O30" i="10"/>
  <c r="O31" i="10"/>
  <c r="P30" i="10"/>
  <c r="P31" i="10"/>
  <c r="Q30" i="10"/>
  <c r="Q31" i="10"/>
  <c r="P15" i="10"/>
  <c r="O15" i="10"/>
  <c r="M15" i="10"/>
  <c r="K15" i="10"/>
  <c r="I15" i="10"/>
  <c r="G15" i="10"/>
  <c r="E15" i="10"/>
  <c r="C15" i="10"/>
  <c r="P28" i="10"/>
  <c r="O28" i="10"/>
  <c r="M28" i="10"/>
  <c r="K28" i="10"/>
  <c r="I28" i="10"/>
  <c r="G28" i="10"/>
  <c r="E28" i="10"/>
  <c r="C28" i="10"/>
  <c r="P27" i="10"/>
  <c r="O27" i="10"/>
  <c r="M27" i="10"/>
  <c r="K27" i="10"/>
  <c r="I27" i="10"/>
  <c r="G27" i="10"/>
  <c r="E27" i="10"/>
  <c r="C27" i="10"/>
  <c r="P26" i="10"/>
  <c r="O26" i="10"/>
  <c r="M26" i="10"/>
  <c r="K26" i="10"/>
  <c r="I26" i="10"/>
  <c r="G26" i="10"/>
  <c r="E26" i="10"/>
  <c r="C26" i="10"/>
  <c r="P25" i="10"/>
  <c r="O25" i="10"/>
  <c r="M25" i="10"/>
  <c r="K25" i="10"/>
  <c r="I25" i="10"/>
  <c r="G25" i="10"/>
  <c r="E25" i="10"/>
  <c r="C25" i="10"/>
  <c r="P23" i="10"/>
  <c r="O23" i="10"/>
  <c r="M23" i="10"/>
  <c r="K23" i="10"/>
  <c r="I23" i="10"/>
  <c r="G23" i="10"/>
  <c r="E23" i="10"/>
  <c r="C23" i="10"/>
  <c r="P22" i="10"/>
  <c r="O22" i="10"/>
  <c r="M22" i="10"/>
  <c r="K22" i="10"/>
  <c r="I22" i="10"/>
  <c r="G22" i="10"/>
  <c r="E22" i="10"/>
  <c r="C22" i="10"/>
  <c r="P21" i="10"/>
  <c r="O21" i="10"/>
  <c r="M21" i="10"/>
  <c r="K21" i="10"/>
  <c r="I21" i="10"/>
  <c r="G21" i="10"/>
  <c r="E21" i="10"/>
  <c r="C21" i="10"/>
  <c r="P20" i="10"/>
  <c r="O20" i="10"/>
  <c r="M20" i="10"/>
  <c r="K20" i="10"/>
  <c r="I20" i="10"/>
  <c r="G20" i="10"/>
  <c r="E20" i="10"/>
  <c r="C20" i="10"/>
  <c r="P18" i="10"/>
  <c r="O18" i="10"/>
  <c r="M18" i="10"/>
  <c r="K18" i="10"/>
  <c r="I18" i="10"/>
  <c r="G18" i="10"/>
  <c r="E18" i="10"/>
  <c r="C18" i="10"/>
  <c r="P17" i="10"/>
  <c r="O17" i="10"/>
  <c r="M17" i="10"/>
  <c r="K17" i="10"/>
  <c r="I17" i="10"/>
  <c r="G17" i="10"/>
  <c r="E17" i="10"/>
  <c r="C17" i="10"/>
  <c r="P16" i="10"/>
  <c r="O16" i="10"/>
  <c r="M16" i="10"/>
  <c r="K16" i="10"/>
  <c r="I16" i="10"/>
  <c r="G16" i="10"/>
  <c r="E16" i="10"/>
  <c r="C16" i="10"/>
  <c r="O30" i="8"/>
  <c r="P30" i="9" s="1"/>
  <c r="M30" i="8"/>
  <c r="M30" i="9" s="1"/>
  <c r="K30" i="8"/>
  <c r="K30" i="9" s="1"/>
  <c r="I30" i="8"/>
  <c r="G30" i="8"/>
  <c r="E30" i="8"/>
  <c r="C30" i="8"/>
  <c r="O32" i="8"/>
  <c r="P32" i="9" s="1"/>
  <c r="M32" i="8"/>
  <c r="M32" i="9" s="1"/>
  <c r="K32" i="8"/>
  <c r="K32" i="9" s="1"/>
  <c r="I32" i="8"/>
  <c r="G32" i="8"/>
  <c r="E32" i="8"/>
  <c r="C32" i="8"/>
  <c r="O31" i="8"/>
  <c r="P31" i="9" s="1"/>
  <c r="M31" i="8"/>
  <c r="M31" i="9" s="1"/>
  <c r="K31" i="8"/>
  <c r="K31" i="9" s="1"/>
  <c r="I31" i="8"/>
  <c r="G31" i="8"/>
  <c r="E31" i="8"/>
  <c r="C31" i="8"/>
  <c r="C31" i="9" l="1"/>
  <c r="C32" i="9"/>
  <c r="C30" i="9"/>
  <c r="E31" i="9"/>
  <c r="E32" i="9"/>
  <c r="E30" i="9"/>
  <c r="G31" i="9"/>
  <c r="I31" i="9"/>
  <c r="O31" i="9"/>
  <c r="G32" i="9"/>
  <c r="I32" i="9"/>
  <c r="O32" i="9"/>
  <c r="G30" i="9"/>
  <c r="I30" i="9"/>
  <c r="O30" i="9"/>
  <c r="C84" i="6"/>
  <c r="C83" i="6"/>
  <c r="C82" i="6"/>
  <c r="C81" i="6"/>
  <c r="C73" i="6"/>
  <c r="C72" i="6"/>
  <c r="C64" i="6"/>
  <c r="C63" i="6"/>
  <c r="C55" i="6"/>
  <c r="C54" i="6"/>
  <c r="C53" i="6"/>
  <c r="C45" i="6"/>
  <c r="C44" i="6"/>
  <c r="C36" i="6"/>
  <c r="C35" i="6"/>
  <c r="C27" i="6"/>
  <c r="C26" i="6"/>
  <c r="C25" i="6"/>
  <c r="C17" i="6"/>
  <c r="C16" i="6"/>
  <c r="C7" i="6"/>
  <c r="C6" i="6"/>
  <c r="C5" i="6"/>
  <c r="D47" i="9" l="1"/>
  <c r="E59" i="8" l="1"/>
  <c r="F59" i="8" s="1"/>
  <c r="P28" i="8" s="1"/>
  <c r="E58" i="8"/>
  <c r="F58" i="8" s="1"/>
  <c r="P27" i="8" s="1"/>
  <c r="Q27" i="9" s="1"/>
  <c r="E57" i="8"/>
  <c r="F57" i="8" s="1"/>
  <c r="P26" i="8" s="1"/>
  <c r="E56" i="8"/>
  <c r="F56" i="8" s="1"/>
  <c r="P25" i="8" s="1"/>
  <c r="E54" i="8"/>
  <c r="F54" i="8" s="1"/>
  <c r="P23" i="8" s="1"/>
  <c r="E53" i="8"/>
  <c r="F53" i="8" s="1"/>
  <c r="P22" i="8" s="1"/>
  <c r="Q22" i="9" s="1"/>
  <c r="E52" i="8"/>
  <c r="F52" i="8" s="1"/>
  <c r="P21" i="8" s="1"/>
  <c r="E51" i="8"/>
  <c r="F51" i="8" s="1"/>
  <c r="P20" i="8" s="1"/>
  <c r="E49" i="8"/>
  <c r="F49" i="8" s="1"/>
  <c r="P18" i="8" s="1"/>
  <c r="E48" i="8"/>
  <c r="F48" i="8" s="1"/>
  <c r="P17" i="8" s="1"/>
  <c r="Q17" i="9" s="1"/>
  <c r="E47" i="8"/>
  <c r="F47" i="8" s="1"/>
  <c r="P16" i="8" s="1"/>
  <c r="E46" i="8"/>
  <c r="F46" i="8" s="1"/>
  <c r="P15" i="8" s="1"/>
  <c r="Q18" i="9" l="1"/>
  <c r="Q16" i="9"/>
  <c r="Q15" i="9"/>
  <c r="Q23" i="9"/>
  <c r="Q21" i="9"/>
  <c r="Q20" i="9"/>
  <c r="Q28" i="9"/>
  <c r="Q26" i="9"/>
  <c r="Q25" i="9"/>
  <c r="O15" i="8"/>
  <c r="M15" i="8"/>
  <c r="K15" i="8"/>
  <c r="I15" i="8"/>
  <c r="G15" i="8"/>
  <c r="E15" i="8"/>
  <c r="C15" i="8"/>
  <c r="O16" i="8"/>
  <c r="M16" i="8"/>
  <c r="K16" i="8"/>
  <c r="I16" i="8"/>
  <c r="G16" i="8"/>
  <c r="E16" i="8"/>
  <c r="C16" i="8"/>
  <c r="O17" i="8"/>
  <c r="M17" i="8"/>
  <c r="M17" i="9" s="1"/>
  <c r="K17" i="8"/>
  <c r="K17" i="9" s="1"/>
  <c r="I17" i="8"/>
  <c r="G17" i="8"/>
  <c r="E17" i="8"/>
  <c r="C17" i="8"/>
  <c r="M18" i="8"/>
  <c r="O18" i="8"/>
  <c r="K18" i="8"/>
  <c r="I18" i="8"/>
  <c r="G18" i="8"/>
  <c r="E18" i="8"/>
  <c r="C18" i="8"/>
  <c r="O20" i="8"/>
  <c r="M20" i="8"/>
  <c r="K20" i="8"/>
  <c r="I20" i="8"/>
  <c r="G20" i="8"/>
  <c r="E20" i="8"/>
  <c r="C20" i="8"/>
  <c r="O21" i="8"/>
  <c r="M21" i="8"/>
  <c r="K21" i="8"/>
  <c r="I21" i="8"/>
  <c r="G21" i="8"/>
  <c r="E21" i="8"/>
  <c r="C21" i="8"/>
  <c r="O22" i="8"/>
  <c r="P22" i="9" s="1"/>
  <c r="M22" i="8"/>
  <c r="K22" i="8"/>
  <c r="K22" i="9" s="1"/>
  <c r="I22" i="8"/>
  <c r="I22" i="9" s="1"/>
  <c r="G22" i="8"/>
  <c r="E22" i="8"/>
  <c r="C22" i="8"/>
  <c r="C22" i="9" s="1"/>
  <c r="O23" i="8"/>
  <c r="M23" i="8"/>
  <c r="K23" i="8"/>
  <c r="I23" i="8"/>
  <c r="G23" i="8"/>
  <c r="E23" i="8"/>
  <c r="C23" i="8"/>
  <c r="O25" i="8"/>
  <c r="M25" i="8"/>
  <c r="K25" i="8"/>
  <c r="I25" i="8"/>
  <c r="G25" i="8"/>
  <c r="E25" i="8"/>
  <c r="C25" i="8"/>
  <c r="O26" i="8"/>
  <c r="M26" i="8"/>
  <c r="K26" i="8"/>
  <c r="I26" i="8"/>
  <c r="G26" i="8"/>
  <c r="E26" i="8"/>
  <c r="C26" i="8"/>
  <c r="O27" i="8"/>
  <c r="M27" i="8"/>
  <c r="K27" i="8"/>
  <c r="I27" i="8"/>
  <c r="G27" i="8"/>
  <c r="E27" i="8"/>
  <c r="E27" i="9" s="1"/>
  <c r="C27" i="8"/>
  <c r="O28" i="8"/>
  <c r="M28" i="8"/>
  <c r="K28" i="8"/>
  <c r="I28" i="8"/>
  <c r="G28" i="8"/>
  <c r="E28" i="8"/>
  <c r="C28" i="8"/>
  <c r="O17" i="9"/>
  <c r="C17" i="9"/>
  <c r="P17" i="9"/>
  <c r="O22" i="9"/>
  <c r="M22" i="9"/>
  <c r="G22" i="9"/>
  <c r="P27" i="9"/>
  <c r="O27" i="9"/>
  <c r="M27" i="9"/>
  <c r="K27" i="9"/>
  <c r="I27" i="9"/>
  <c r="G27" i="9"/>
  <c r="C27" i="9"/>
  <c r="E17" i="9"/>
  <c r="G17" i="9"/>
  <c r="E22" i="9" l="1"/>
  <c r="E21" i="9" s="1"/>
  <c r="I17" i="9"/>
  <c r="I15" i="9" s="1"/>
  <c r="G15" i="9"/>
  <c r="G18" i="9"/>
  <c r="G16" i="9"/>
  <c r="E28" i="9"/>
  <c r="E26" i="9"/>
  <c r="E25" i="9"/>
  <c r="E23" i="9"/>
  <c r="E20" i="9"/>
  <c r="E15" i="9"/>
  <c r="E18" i="9"/>
  <c r="E16" i="9"/>
  <c r="C28" i="9"/>
  <c r="C26" i="9"/>
  <c r="C25" i="9"/>
  <c r="C23" i="9"/>
  <c r="C21" i="9"/>
  <c r="C20" i="9"/>
  <c r="G28" i="9"/>
  <c r="G26" i="9"/>
  <c r="G25" i="9"/>
  <c r="I28" i="9"/>
  <c r="I26" i="9"/>
  <c r="I25" i="9"/>
  <c r="K28" i="9"/>
  <c r="K26" i="9"/>
  <c r="K25" i="9"/>
  <c r="M28" i="9"/>
  <c r="M26" i="9"/>
  <c r="M25" i="9"/>
  <c r="O25" i="9"/>
  <c r="O28" i="9"/>
  <c r="O26" i="9"/>
  <c r="P25" i="9"/>
  <c r="P28" i="9"/>
  <c r="P26" i="9"/>
  <c r="G23" i="9"/>
  <c r="G21" i="9"/>
  <c r="G20" i="9"/>
  <c r="I23" i="9"/>
  <c r="I21" i="9"/>
  <c r="I20" i="9"/>
  <c r="K23" i="9"/>
  <c r="K21" i="9"/>
  <c r="K20" i="9"/>
  <c r="M23" i="9"/>
  <c r="M21" i="9"/>
  <c r="M20" i="9"/>
  <c r="P23" i="9"/>
  <c r="P21" i="9"/>
  <c r="P20" i="9"/>
  <c r="O23" i="9"/>
  <c r="O21" i="9"/>
  <c r="O20" i="9"/>
  <c r="I18" i="9"/>
  <c r="K15" i="9"/>
  <c r="K18" i="9"/>
  <c r="K16" i="9"/>
  <c r="M15" i="9"/>
  <c r="M16" i="9"/>
  <c r="M18" i="9"/>
  <c r="P18" i="9"/>
  <c r="P16" i="9"/>
  <c r="P15" i="9"/>
  <c r="C18" i="9"/>
  <c r="C16" i="9"/>
  <c r="C15" i="9"/>
  <c r="O18" i="9"/>
  <c r="O16" i="9"/>
  <c r="O15" i="9"/>
  <c r="I16" i="9" l="1"/>
  <c r="E54" i="6"/>
  <c r="E55" i="6"/>
  <c r="E53" i="6"/>
  <c r="E16" i="6"/>
  <c r="E17" i="6"/>
  <c r="E82" i="6"/>
  <c r="E83" i="6"/>
  <c r="E84" i="6"/>
  <c r="E81" i="6"/>
  <c r="E85" i="6" l="1"/>
  <c r="E86" i="6" s="1"/>
  <c r="E89" i="6" s="1"/>
  <c r="E56" i="6"/>
  <c r="E87" i="6"/>
  <c r="E90" i="6" s="1"/>
  <c r="P34" i="8" l="1"/>
  <c r="Q33" i="10"/>
  <c r="E64" i="6"/>
  <c r="E63" i="6"/>
  <c r="E65" i="6" l="1"/>
  <c r="E73" i="6"/>
  <c r="E72" i="6"/>
  <c r="E74" i="6" s="1"/>
  <c r="E76" i="6" l="1"/>
  <c r="E79" i="6" s="1"/>
  <c r="E75" i="6"/>
  <c r="E78" i="6" s="1"/>
  <c r="E26" i="6"/>
  <c r="E25" i="6"/>
  <c r="O34" i="8" l="1"/>
  <c r="P33" i="10"/>
  <c r="E7" i="6"/>
  <c r="E45" i="6" l="1"/>
  <c r="E36" i="6"/>
  <c r="E5" i="6" l="1"/>
  <c r="E6" i="6"/>
  <c r="E15" i="6"/>
  <c r="E18" i="6" s="1"/>
  <c r="E35" i="6"/>
  <c r="E37" i="6" s="1"/>
  <c r="E44" i="6"/>
  <c r="E46" i="6" s="1"/>
  <c r="E8" i="6" l="1"/>
  <c r="E20" i="6"/>
  <c r="E23" i="6" s="1"/>
  <c r="E19" i="6"/>
  <c r="E22" i="6" s="1"/>
  <c r="E27" i="6"/>
  <c r="E28" i="6" s="1"/>
  <c r="E34" i="8" l="1"/>
  <c r="E33" i="10"/>
  <c r="E30" i="6"/>
  <c r="E33" i="6" s="1"/>
  <c r="E29" i="6"/>
  <c r="E32" i="6" s="1"/>
  <c r="E10" i="6"/>
  <c r="E13" i="6" s="1"/>
  <c r="E9" i="6"/>
  <c r="E12" i="6" s="1"/>
  <c r="C34" i="8" l="1"/>
  <c r="C33" i="10"/>
  <c r="G34" i="8"/>
  <c r="G33" i="10"/>
  <c r="E39" i="6"/>
  <c r="E42" i="6" s="1"/>
  <c r="E38" i="6"/>
  <c r="E41" i="6" s="1"/>
  <c r="I34" i="8" l="1"/>
  <c r="I33" i="10"/>
  <c r="E48" i="6"/>
  <c r="E51" i="6" s="1"/>
  <c r="E47" i="6"/>
  <c r="E50" i="6" s="1"/>
  <c r="K34" i="8" l="1"/>
  <c r="K33" i="10"/>
  <c r="E58" i="6"/>
  <c r="E61" i="6" s="1"/>
  <c r="E57" i="6"/>
  <c r="E60" i="6" s="1"/>
  <c r="M34" i="8" l="1"/>
  <c r="M33" i="10"/>
  <c r="E67" i="6"/>
  <c r="E70" i="6" s="1"/>
  <c r="E66" i="6"/>
  <c r="E69" i="6" s="1"/>
  <c r="O33" i="10" l="1"/>
</calcChain>
</file>

<file path=xl/comments1.xml><?xml version="1.0" encoding="utf-8"?>
<comments xmlns="http://schemas.openxmlformats.org/spreadsheetml/2006/main">
  <authors>
    <author>Автор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среднее значение (грязь, озокерит) -2 апплик.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бассейн в услугах стор. Организаций. Взяла примерно-100 руб чтоб немного накинуть.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-2 апплик.</t>
        </r>
      </text>
    </comment>
    <comment ref="C2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-2 апплик.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B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Используется аппарат амплипульс, но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 xml:space="preserve">
Амплипульс - 2 электрода, миостимуляция 8 электродов. Поэтому стоимость амплипульса умножаем на 4
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-2 апплик.</t>
        </r>
      </text>
    </comment>
  </commentList>
</comments>
</file>

<file path=xl/sharedStrings.xml><?xml version="1.0" encoding="utf-8"?>
<sst xmlns="http://schemas.openxmlformats.org/spreadsheetml/2006/main" count="855" uniqueCount="226">
  <si>
    <t>УТВЕРЖДАЮ</t>
  </si>
  <si>
    <t>СТОИМОСТЬ ПУТЕВОК</t>
  </si>
  <si>
    <t>(применяется для расчета суммы возмещения стоимости путевки предприятием)</t>
  </si>
  <si>
    <t>№ п/п</t>
  </si>
  <si>
    <t>Полный комплекс обслуживания (стационар) с одноразовым питанием</t>
  </si>
  <si>
    <t>с проживанием в одноместном номере</t>
  </si>
  <si>
    <t>с проживанием в двухместном номере</t>
  </si>
  <si>
    <t>с проживанием в трехместном номере</t>
  </si>
  <si>
    <t>с проживанием в номере Люкс</t>
  </si>
  <si>
    <t>Полный комплекс обслуживания (стационар) с двухразовым питанием</t>
  </si>
  <si>
    <t>Полный комплекс обслуживания (стационар) с трехразовым питанием</t>
  </si>
  <si>
    <t>Директор лечебно-профилактического объединения</t>
  </si>
  <si>
    <t>Долгина Н.Э.</t>
  </si>
  <si>
    <t>Согласовано:</t>
  </si>
  <si>
    <t>Директор по персоналу Монди группа России</t>
  </si>
  <si>
    <t>для сторонних организаций и частных лиц</t>
  </si>
  <si>
    <t>Председатель ППО "Сыктывкарский ЛПК"</t>
  </si>
  <si>
    <t>СОГЛАСОВАНО</t>
  </si>
  <si>
    <t>________________________Слободчиков А.И.</t>
  </si>
  <si>
    <t>Наименование услуги</t>
  </si>
  <si>
    <t>с/с услуги</t>
  </si>
  <si>
    <t>кол-во</t>
  </si>
  <si>
    <t>ст-ть, руб</t>
  </si>
  <si>
    <t>5 дней</t>
  </si>
  <si>
    <t>Рентабельность раб ЛПК -5%</t>
  </si>
  <si>
    <t>Рентабельность для сторонних - 16%</t>
  </si>
  <si>
    <t xml:space="preserve">  - работники ЛПК</t>
  </si>
  <si>
    <t xml:space="preserve">  - сторонние </t>
  </si>
  <si>
    <t>Фотиева О.Г.</t>
  </si>
  <si>
    <t>наименование вида путевок</t>
  </si>
  <si>
    <t>Первый заместитель генерального</t>
  </si>
  <si>
    <t>директора - финансовый директор</t>
  </si>
  <si>
    <t>___________________Шаллеггер Г.</t>
  </si>
  <si>
    <t>в санаторий-профилакторий ЛПО АО "Монди СЛПК"</t>
  </si>
  <si>
    <t>Первый заместитель генерального директора-финансовый директор АО "Монди СЛПК"</t>
  </si>
  <si>
    <t>_______________Шаллеггер Г.</t>
  </si>
  <si>
    <t xml:space="preserve">для работников АО "Монди СЛПК", дочерних предприятий </t>
  </si>
  <si>
    <t>АО "Монди СЛПК"</t>
  </si>
  <si>
    <t>для работников  АО "Монди СЛПК", дочерних предприятий</t>
  </si>
  <si>
    <t>Беложаева Т.В.</t>
  </si>
  <si>
    <t>Спокойствие Будды</t>
  </si>
  <si>
    <t>Стройность и грация</t>
  </si>
  <si>
    <t>Стройность богини</t>
  </si>
  <si>
    <t>Легкость дыхания</t>
  </si>
  <si>
    <t>Трансаир</t>
  </si>
  <si>
    <t>Циркулярный душ</t>
  </si>
  <si>
    <t>Массаж воротниковой зоны</t>
  </si>
  <si>
    <t>LPG массаж</t>
  </si>
  <si>
    <t>фито бочка</t>
  </si>
  <si>
    <t>душ Шарко</t>
  </si>
  <si>
    <t>гидрофузионная капсула "Дермалайф Spa get"</t>
  </si>
  <si>
    <t>Галокамера</t>
  </si>
  <si>
    <t>Ингаляции</t>
  </si>
  <si>
    <t>Для 1 программы</t>
  </si>
  <si>
    <t>Сухая углекислая ванна</t>
  </si>
  <si>
    <t xml:space="preserve">Массаж </t>
  </si>
  <si>
    <t>Здоровое дыхание</t>
  </si>
  <si>
    <t>Гидромассаж</t>
  </si>
  <si>
    <t>Бодрость каждый день</t>
  </si>
  <si>
    <t>Спокойствие и безмятежность</t>
  </si>
  <si>
    <t>Блажентво</t>
  </si>
  <si>
    <t>безынъекционная биоревитализация  лица</t>
  </si>
  <si>
    <t>Обертывание</t>
  </si>
  <si>
    <t>Исполнение желаний</t>
  </si>
  <si>
    <t>"Спокойствие Будды"</t>
  </si>
  <si>
    <t>"Стройность и грация"</t>
  </si>
  <si>
    <t>"Стройность богини"</t>
  </si>
  <si>
    <t>"Легкость дыхания"</t>
  </si>
  <si>
    <t>"Бодрость каждый день"</t>
  </si>
  <si>
    <t>"Здоровое дыхание</t>
  </si>
  <si>
    <t>"Спокойствие и безмятежность"</t>
  </si>
  <si>
    <t>"Блаженство"</t>
  </si>
  <si>
    <t>"Исполнение желаний"</t>
  </si>
  <si>
    <t>6 дней</t>
  </si>
  <si>
    <t>% лечения</t>
  </si>
  <si>
    <t>без лечения</t>
  </si>
  <si>
    <t>стоим. леч</t>
  </si>
  <si>
    <t>Вводится с                                       2015 года</t>
  </si>
  <si>
    <t>Начальник отдела планирования и контроллинга</t>
  </si>
  <si>
    <t>Вводится с                                               2015 года</t>
  </si>
  <si>
    <t>Вводится с                                 2015 года</t>
  </si>
  <si>
    <t>ст-ть лечения в путевке</t>
  </si>
  <si>
    <t>Итого ст-ть лечения  в путевке</t>
  </si>
  <si>
    <t>Амбулаторная путевка</t>
  </si>
  <si>
    <t>комплекс с одноразовым питанием</t>
  </si>
  <si>
    <t>комплекс с двухразовым питанием</t>
  </si>
  <si>
    <t>Курсовка (лечение)</t>
  </si>
  <si>
    <t>% леч</t>
  </si>
  <si>
    <t>сумма леч</t>
  </si>
  <si>
    <t>без леч</t>
  </si>
  <si>
    <t>21 день</t>
  </si>
  <si>
    <t>Для лечения органов дыхания</t>
  </si>
  <si>
    <t>Массаж (2 ед.)</t>
  </si>
  <si>
    <t>Озокерито-, грязелечение</t>
  </si>
  <si>
    <t>Аппаратное физиолечение по показаниям (магнит, лазер, электрофорез)</t>
  </si>
  <si>
    <t>Лечебные ванны (минеральные, нафталановые)</t>
  </si>
  <si>
    <t>ЛФК</t>
  </si>
  <si>
    <t>Бассейн</t>
  </si>
  <si>
    <t>Итого ст-ть лечения  в путевке (сторонние)</t>
  </si>
  <si>
    <t>Для лечения опорно-двигательного аппарата</t>
  </si>
  <si>
    <t>Для лечения сердечно-сосудистых заболеваний</t>
  </si>
  <si>
    <t>Галотерапия</t>
  </si>
  <si>
    <t>Лечебные души(циркулярный, игольчатый)</t>
  </si>
  <si>
    <t>Лечебные ванны (минеральные, скипидарные)</t>
  </si>
  <si>
    <t>Курсовка</t>
  </si>
  <si>
    <t>на 14 календарных дня, руб.</t>
  </si>
  <si>
    <t>однодневная путевка, руб.</t>
  </si>
  <si>
    <t>комплекс с трехразовым питанием</t>
  </si>
  <si>
    <t>Детская путевка (возраст с 4 до 14 лет в сопровождении взрослого) с одноразовым питанием</t>
  </si>
  <si>
    <t>Детская путевка (возраст с 4 до 14 лет в сопровождении взрослого) с двухразовым питанием</t>
  </si>
  <si>
    <t>Детская путевка (возраст с 4 до 14 лет в сопровождении взрослого) с трехразовым питанием</t>
  </si>
  <si>
    <t>Детская амбулаторная путевка (возратс с 4 до 14 лет в сопровождении взрослого)</t>
  </si>
  <si>
    <t>обычная путевка 14 кал. дней</t>
  </si>
  <si>
    <t xml:space="preserve">Начальник отдела финансовой отчетности  и планирования </t>
  </si>
  <si>
    <t>Чиквари Г.</t>
  </si>
  <si>
    <t>Директор по персоналу Монди группа Россия</t>
  </si>
  <si>
    <t xml:space="preserve">УДЕЛЬНЫЙ ВЕС СТОИМОСТИ ЛЕЧЕНИЯ В  ПУТЕВКАХ </t>
  </si>
  <si>
    <t xml:space="preserve"> санатория-профилактория ЛПО АО "Монди СЛПК"</t>
  </si>
  <si>
    <t>Рентабельность для сторонних - 24%</t>
  </si>
  <si>
    <t>Рентабельность для сторонних - 17%</t>
  </si>
  <si>
    <t>Рентабельность для сторонних - 12%</t>
  </si>
  <si>
    <t xml:space="preserve"> (Оздоровительные комплексы)</t>
  </si>
  <si>
    <t>Ведущий экономист ЛПО</t>
  </si>
  <si>
    <t>Чернопыская Н.Б.</t>
  </si>
  <si>
    <t>Подводный душ-массаж</t>
  </si>
  <si>
    <t>Электрофорез с никотиновой кислотой на шейный отдел позвоночника</t>
  </si>
  <si>
    <t>Аэрофитотерапия</t>
  </si>
  <si>
    <t>Милдронат 5,0в/в</t>
  </si>
  <si>
    <t>Медикаментозная терапия</t>
  </si>
  <si>
    <t>Пикамилон 2,0 в/м</t>
  </si>
  <si>
    <t>Витамин В1  2,0 в/м</t>
  </si>
  <si>
    <t>Витамин В6  2,0 в/м</t>
  </si>
  <si>
    <t>Массаж области грудной клетки (2 ед.)</t>
  </si>
  <si>
    <t>Грязевые аппликации на грудную клетку</t>
  </si>
  <si>
    <t>Желтая скипидарная ванна</t>
  </si>
  <si>
    <t>Ингаляции с минеральной водой</t>
  </si>
  <si>
    <t>Индуктотермия на область надпочечников</t>
  </si>
  <si>
    <t>Массаж  шейно-воротниковой зоны(2 ед.)</t>
  </si>
  <si>
    <t>Эндоназальный электрофорез кортексина</t>
  </si>
  <si>
    <t>Капсула "Окси Альфа спа"</t>
  </si>
  <si>
    <t>Мексидол 2,0в/в</t>
  </si>
  <si>
    <t>Минеральные ванны</t>
  </si>
  <si>
    <t>минеральные ванны</t>
  </si>
  <si>
    <t>Инъекция</t>
  </si>
  <si>
    <t>Мумие 50,0 гр</t>
  </si>
  <si>
    <t xml:space="preserve">Итого ст-ть лечения  в путевке (Монди) </t>
  </si>
  <si>
    <t xml:space="preserve">Итого ст-ть лечения  в путевке (сторонние) </t>
  </si>
  <si>
    <t>для работников  АО "Монди СЛПК"</t>
  </si>
  <si>
    <t>14 дней</t>
  </si>
  <si>
    <t>(Оздоровительные программы)</t>
  </si>
  <si>
    <t>1. Для работников АО "Монди СЛПК", дочерних предприятий и их детей</t>
  </si>
  <si>
    <t>для членов профсоюза</t>
  </si>
  <si>
    <t>для не членов профсоюза</t>
  </si>
  <si>
    <t>стандартная</t>
  </si>
  <si>
    <t>Отклонения от стандартной</t>
  </si>
  <si>
    <t>санатория-профилактория ЛПО АО "Монди СЛПК"</t>
  </si>
  <si>
    <t>Программа "Формула здоровья"</t>
  </si>
  <si>
    <t>Программа  «Жизнь-это ВДОХновение!»</t>
  </si>
  <si>
    <t>Программа «Энергия жизни»</t>
  </si>
  <si>
    <t>Итого ст-ть лечения  в путевке (Монди)</t>
  </si>
  <si>
    <t>_____________________________Уханов Д.В.</t>
  </si>
  <si>
    <t>____________________Уханов Д.В.</t>
  </si>
  <si>
    <t>______________________Уханов Д.В.</t>
  </si>
  <si>
    <t>Программа «Энергия жизни»*</t>
  </si>
  <si>
    <t>Программа  «Жизнь-это ВДОХновение!»**</t>
  </si>
  <si>
    <t>Программа "Формула здоровья"***</t>
  </si>
  <si>
    <t>_______________Уханов Д.В.</t>
  </si>
  <si>
    <t>Вводится с_____________________2018 года</t>
  </si>
  <si>
    <t>_______________Д.В. Уханов</t>
  </si>
  <si>
    <t>Итого ст-ть лечения  в путевке (сторонние)1 к/день</t>
  </si>
  <si>
    <t>на 14 календарных дней, руб.</t>
  </si>
  <si>
    <t>Вводится с                                               2018 года</t>
  </si>
  <si>
    <t>для сторонних организаций и частных лиц  с  _________________   2018 г.</t>
  </si>
  <si>
    <t>7 дней</t>
  </si>
  <si>
    <t xml:space="preserve">Комплекс для лечения органов дыхания       </t>
  </si>
  <si>
    <t xml:space="preserve">  Комплекс для лечения сердечно-сосудистых заболеваний</t>
  </si>
  <si>
    <t xml:space="preserve">Комплекс для лечения опорно-двигательного аппарата                                                       </t>
  </si>
  <si>
    <t xml:space="preserve">Комплекс для лечения опорно-двигательного аппарата  *                                                     </t>
  </si>
  <si>
    <t>*Комплекс для лечения опорно-двигательного аппарата на 14 кал.дней  включает в себя: Массаж (2 ед.)-6 проц., Озокерито-, грязелечение- 6 проц., Аппаратное физиолечение по показаниям (магнит, лазер, электрофорез)- 6 проц., Лечебные ванны (минеральные, нафталановые)- 6 проц., ЛФК- 4 сеанса, бассейн-2 пос.</t>
  </si>
  <si>
    <t xml:space="preserve">Комплекс для лечения органов дыхания **      </t>
  </si>
  <si>
    <t xml:space="preserve">  Комплекс для лечения сердечно-сосудистых заболеваний***</t>
  </si>
  <si>
    <t xml:space="preserve">**Комплекс для лечения органов дыхания на 14 кал.дней  включает в себя:   Массаж (2 ед.)-6 проц., Галотерапия- 6 проц., ингаляции- 6 проц., Лечебные души(циркулярный, игольчатый)- 6 проц., ппаратное физиолечение по показаниям (магнит, лазер, электрофорез)- 6 проц., бассейн-2 пос.    </t>
  </si>
  <si>
    <t xml:space="preserve"> ***Комплекс для лечения сердечно-сосудистых заболеваний на 14 кал.дней  включает в себя: Массаж (2 ед.)-6 проц.,сухая углекислая ванна- 6 проц., Аппаратное физиолечение по показаниям (магнит, лазер, электрофорез)- 6 проц., Лечебные ванны (минеральные, нафталановые)- 6 проц., бассейн-2 пос.</t>
  </si>
  <si>
    <t>программаная</t>
  </si>
  <si>
    <t>Грязевые перчатки</t>
  </si>
  <si>
    <r>
      <rPr>
        <b/>
        <sz val="11"/>
        <color theme="1"/>
        <rFont val="Arial"/>
        <family val="2"/>
        <charset val="204"/>
      </rPr>
      <t xml:space="preserve">*Программа "Энергия жизни" </t>
    </r>
    <r>
      <rPr>
        <sz val="11"/>
        <color theme="1"/>
        <rFont val="Arial"/>
        <family val="2"/>
        <charset val="204"/>
      </rPr>
      <t xml:space="preserve">– профилактика заболеваний нервной системы и лор-органов для людей, работающих в условиях общей и местной вибрации, физических перегрузок, производственного шума на рабочих местах. Данная программа на 14 кал. дней включает в себя:Электрофорез с никотиновой кислотой на шейный отдел позвоночника-6 проц,грязевые перчатки-6 проц., аэрофитотерапия-12 проц., минеральные ванны (по назначению врача) -6 проц.,ЛФК-6 проц, подводный душ-массаж-6 проц. ,медикаментозная терапия (инъекции)- по назначению врача.
**Программа "Жизнь – это ВДОХновение" – профилактика заболеваний дыхательной системы для людей, работающих в условиях повышенной температуры в производственных помещениях, в условиях запыленности и загазованности воздуха. Данная программа на 14 кал. дней включает в себя:Массаж области грудной клетки (2 ед.)- 6 проц.,Галотерапия-10 сеансов, Ингаляции с минеральной водой-10 проц, Желтая скипидарная ванна-6 проц., Сухая углекислая ванна-6 проц., Индуктотермия на область надпочечников-6 проц., Грязевые аппликации на грудную клетку    -6 проц., Мумие ( по назначению врача)                                                                                                                                                                                                                                                                   ***Программа "Формула здоровья" – коррекция имеющихся функциональных нарушений (так называемый «синдром хронической усталости»), профилактика органических заболеваний. Показана людям, работающим по сменному графику, в условиях психологического стресса, с повышенной степенью ответственности.Данная программа на 14 кал. дней включает в себя:Массаж  шейно-воротниковой зоны(2 ед.)- 6 проц., Аэрофитотерапия- 10 сеансов, Эндоназальный электрофорез кортексина- 10 проц., Трансаир- 6 проц., Галотерапия- 8 проц., Капсула "Окси Альфа СПА" - 6 проц.,медикаментозная терапия (инъекции)- по назначению врача.
</t>
    </r>
  </si>
  <si>
    <t>Миостимуляция (амплипульс)</t>
  </si>
  <si>
    <t>Инфракрасная сауна</t>
  </si>
  <si>
    <t>4. Озонотерапия – внутрикожное введение озонокислородной смеси  -3 зоны – область ягодицы, передней или задней поверхности бедра, область живота</t>
  </si>
  <si>
    <t>Игольчатый душ</t>
  </si>
  <si>
    <t>Прессотерапия 2 зоны (ноги+талия, ноги+ руки, руки+талия)</t>
  </si>
  <si>
    <t>Каштановая  ванна</t>
  </si>
  <si>
    <t>Программа «Красивые ножки»</t>
  </si>
  <si>
    <t>Вводится с 4 января  2021 года</t>
  </si>
  <si>
    <t>Полный комплекс обслуживания (стационар) с 1-разовым питанием</t>
  </si>
  <si>
    <t>Полный комплекс обслуживания (стационар) с 2-разовым питанием</t>
  </si>
  <si>
    <t>Полный комплекс обслуживания (стационар) с 3-разовым питанием</t>
  </si>
  <si>
    <t>с проживанием в 1-местном номере</t>
  </si>
  <si>
    <t>с проживанием в 2-местном номере</t>
  </si>
  <si>
    <t>комплекс с 1-разовым питанием</t>
  </si>
  <si>
    <t>комплекс с 2-разовым питанием</t>
  </si>
  <si>
    <t>5 процедур микротоковой терапии лица</t>
  </si>
  <si>
    <t>1 процедура «Шоколадного обертывания»</t>
  </si>
  <si>
    <t>2 парафиновые ванночки для рук</t>
  </si>
  <si>
    <t xml:space="preserve">1 процедура парафиновой ванночки для рук  </t>
  </si>
  <si>
    <t xml:space="preserve">2 процедуры обертывания </t>
  </si>
  <si>
    <t xml:space="preserve">5 процедур антицеллюлитного массажа </t>
  </si>
  <si>
    <t>3 процедуры безинъекционной биоревитализации  лица</t>
  </si>
  <si>
    <t xml:space="preserve">2 процедуры парафиновой ванночки для рук  </t>
  </si>
  <si>
    <t>2 процедуры обертывания</t>
  </si>
  <si>
    <t xml:space="preserve">1 процедура обертывания  </t>
  </si>
  <si>
    <t xml:space="preserve">7 процедур «LPG» массаж тела </t>
  </si>
  <si>
    <t>3 процедуры антицеллюлитного массажа</t>
  </si>
  <si>
    <t xml:space="preserve">7 процедур фитопаросауны «Кедровая бочка» </t>
  </si>
  <si>
    <t xml:space="preserve">1 процедура парафиновой ванночки для рук </t>
  </si>
  <si>
    <t xml:space="preserve">7 процедур душа Шарко </t>
  </si>
  <si>
    <t>5 процедур массажа</t>
  </si>
  <si>
    <r>
      <t>"Сияние кожи"</t>
    </r>
    <r>
      <rPr>
        <sz val="11"/>
        <color rgb="FFFF6600"/>
        <rFont val="Arial"/>
        <family val="2"/>
        <charset val="204"/>
      </rPr>
      <t xml:space="preserve"> </t>
    </r>
    <r>
      <rPr>
        <b/>
        <sz val="11"/>
        <color rgb="FFFF6600"/>
        <rFont val="Arial"/>
        <family val="2"/>
        <charset val="204"/>
      </rPr>
      <t xml:space="preserve">на 14 дней  </t>
    </r>
    <r>
      <rPr>
        <sz val="11"/>
        <color rgb="FF000000"/>
        <rFont val="Arial"/>
        <family val="2"/>
        <charset val="204"/>
      </rPr>
      <t xml:space="preserve">дополнительно к основным процедурам: </t>
    </r>
  </si>
  <si>
    <r>
      <t>"SPA-комплекс" на 7 дней</t>
    </r>
    <r>
      <rPr>
        <sz val="11"/>
        <rFont val="Arial"/>
        <family val="2"/>
        <charset val="204"/>
      </rPr>
      <t xml:space="preserve">  дополнительно к основным процедурам:</t>
    </r>
  </si>
  <si>
    <r>
      <t>"Грация</t>
    </r>
    <r>
      <rPr>
        <sz val="11"/>
        <color rgb="FFFF6600"/>
        <rFont val="Arial"/>
        <family val="2"/>
        <charset val="204"/>
      </rPr>
      <t xml:space="preserve">" </t>
    </r>
    <r>
      <rPr>
        <b/>
        <sz val="11"/>
        <color rgb="FFFF6600"/>
        <rFont val="Arial"/>
        <family val="2"/>
        <charset val="204"/>
      </rPr>
      <t>на 14 дней</t>
    </r>
    <r>
      <rPr>
        <sz val="11"/>
        <color rgb="FFFF6600"/>
        <rFont val="Arial"/>
        <family val="2"/>
        <charset val="204"/>
      </rPr>
      <t xml:space="preserve">  </t>
    </r>
    <r>
      <rPr>
        <sz val="11"/>
        <color rgb="FF000000"/>
        <rFont val="Arial"/>
        <family val="2"/>
        <charset val="204"/>
      </rPr>
      <t xml:space="preserve">дополнительно к основным процедурам:  </t>
    </r>
  </si>
  <si>
    <r>
      <rPr>
        <b/>
        <sz val="11"/>
        <color rgb="FFFF6600"/>
        <rFont val="Arial"/>
        <family val="2"/>
        <charset val="204"/>
      </rPr>
      <t>"Блаженство"</t>
    </r>
    <r>
      <rPr>
        <sz val="11"/>
        <color rgb="FF000000"/>
        <rFont val="Arial"/>
        <family val="2"/>
        <charset val="204"/>
      </rPr>
      <t xml:space="preserve"> </t>
    </r>
    <r>
      <rPr>
        <b/>
        <sz val="11"/>
        <color rgb="FFFF6600"/>
        <rFont val="Arial"/>
        <family val="2"/>
        <charset val="204"/>
      </rPr>
      <t>на 14 дней и на 7 дней</t>
    </r>
    <r>
      <rPr>
        <sz val="11"/>
        <color rgb="FF000000"/>
        <rFont val="Arial"/>
        <family val="2"/>
        <charset val="204"/>
      </rPr>
      <t xml:space="preserve"> дополнительно к основным процедурам: </t>
    </r>
  </si>
  <si>
    <r>
      <t>"Грация"</t>
    </r>
    <r>
      <rPr>
        <sz val="11"/>
        <color rgb="FFFF6600"/>
        <rFont val="Arial"/>
        <family val="2"/>
        <charset val="204"/>
      </rPr>
      <t xml:space="preserve"> </t>
    </r>
    <r>
      <rPr>
        <b/>
        <sz val="11"/>
        <color rgb="FFFF6600"/>
        <rFont val="Arial"/>
        <family val="2"/>
        <charset val="204"/>
      </rPr>
      <t>на 7</t>
    </r>
    <r>
      <rPr>
        <sz val="11"/>
        <color rgb="FFFF6600"/>
        <rFont val="Arial"/>
        <family val="2"/>
        <charset val="204"/>
      </rPr>
      <t xml:space="preserve"> </t>
    </r>
    <r>
      <rPr>
        <b/>
        <sz val="11"/>
        <color rgb="FFFF6600"/>
        <rFont val="Arial"/>
        <family val="2"/>
        <charset val="204"/>
      </rPr>
      <t>дней</t>
    </r>
    <r>
      <rPr>
        <sz val="11"/>
        <color rgb="FF000000"/>
        <rFont val="Arial"/>
        <family val="2"/>
        <charset val="204"/>
      </rPr>
      <t xml:space="preserve"> дополнительно к основным процедурам: </t>
    </r>
  </si>
  <si>
    <r>
      <rPr>
        <b/>
        <sz val="11"/>
        <color rgb="FFFF6600"/>
        <rFont val="Arial"/>
        <family val="2"/>
        <charset val="204"/>
      </rPr>
      <t>"Исполнение желаний"</t>
    </r>
    <r>
      <rPr>
        <sz val="11"/>
        <color theme="1"/>
        <rFont val="Arial"/>
        <family val="2"/>
        <charset val="204"/>
      </rPr>
      <t xml:space="preserve"> </t>
    </r>
    <r>
      <rPr>
        <b/>
        <sz val="11"/>
        <color rgb="FFFF6600"/>
        <rFont val="Arial"/>
        <family val="2"/>
        <charset val="204"/>
      </rPr>
      <t>на 21 день</t>
    </r>
    <r>
      <rPr>
        <sz val="11"/>
        <color theme="1"/>
        <rFont val="Arial"/>
        <family val="2"/>
        <charset val="204"/>
      </rPr>
      <t xml:space="preserve"> </t>
    </r>
    <r>
      <rPr>
        <u/>
        <sz val="11"/>
        <color theme="1"/>
        <rFont val="Arial"/>
        <family val="2"/>
        <charset val="204"/>
      </rPr>
      <t xml:space="preserve">ТОЛЬКО: </t>
    </r>
  </si>
  <si>
    <t>"Сияние кожи"</t>
  </si>
  <si>
    <t>"Грация"</t>
  </si>
  <si>
    <t>"SPA-комплекс"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</si>
</sst>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.000"/>
    <numFmt numFmtId="165" formatCode="0.0"/>
    <numFmt numFmtId="166" formatCode="0.0%"/>
    <numFmt numFmtId="167" formatCode="#,##0.000"/>
    <numFmt numFmtId="168" formatCode="0.0000"/>
    <numFmt numFmtId="169" formatCode="_-* #,##0.000\ _₽_-;\-* #,##0.000\ _₽_-;_-* &quot;-&quot;??\ _₽_-;_-@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i/>
      <sz val="10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0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i/>
      <sz val="10"/>
      <color theme="0"/>
      <name val="Arial"/>
      <family val="2"/>
      <charset val="204"/>
    </font>
    <font>
      <sz val="8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u/>
      <sz val="12"/>
      <name val="Calibri"/>
      <family val="2"/>
      <charset val="204"/>
      <scheme val="minor"/>
    </font>
    <font>
      <sz val="10"/>
      <name val="Arial Cyr"/>
      <charset val="204"/>
    </font>
    <font>
      <sz val="9"/>
      <color rgb="FFFF0000"/>
      <name val="Arial"/>
      <family val="2"/>
      <charset val="204"/>
    </font>
    <font>
      <sz val="10"/>
      <color theme="3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6"/>
      <color rgb="FFFF6600"/>
      <name val="Arial"/>
      <family val="2"/>
      <charset val="204"/>
    </font>
    <font>
      <sz val="16"/>
      <color rgb="FF000000"/>
      <name val="Arial"/>
      <family val="2"/>
      <charset val="204"/>
    </font>
    <font>
      <sz val="16"/>
      <color theme="1"/>
      <name val="Arial"/>
      <family val="2"/>
      <charset val="204"/>
    </font>
    <font>
      <i/>
      <sz val="11"/>
      <color theme="0"/>
      <name val="Arial"/>
      <family val="2"/>
      <charset val="204"/>
    </font>
    <font>
      <b/>
      <sz val="11"/>
      <color rgb="FFFF6600"/>
      <name val="Arial"/>
      <family val="2"/>
      <charset val="204"/>
    </font>
    <font>
      <sz val="11"/>
      <color rgb="FFFF6600"/>
      <name val="Arial"/>
      <family val="2"/>
      <charset val="204"/>
    </font>
    <font>
      <sz val="11"/>
      <color rgb="FF000000"/>
      <name val="Arial"/>
      <family val="2"/>
      <charset val="204"/>
    </font>
    <font>
      <u/>
      <sz val="11"/>
      <color theme="1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31" fillId="0" borderId="0"/>
    <xf numFmtId="43" fontId="34" fillId="0" borderId="0" applyFont="0" applyFill="0" applyBorder="0" applyAlignment="0" applyProtection="0"/>
  </cellStyleXfs>
  <cellXfs count="476">
    <xf numFmtId="0" fontId="0" fillId="0" borderId="0" xfId="0"/>
    <xf numFmtId="0" fontId="2" fillId="0" borderId="2" xfId="0" applyFont="1" applyBorder="1"/>
    <xf numFmtId="0" fontId="0" fillId="0" borderId="2" xfId="0" applyBorder="1"/>
    <xf numFmtId="0" fontId="0" fillId="0" borderId="0" xfId="0" applyFill="1"/>
    <xf numFmtId="0" fontId="0" fillId="0" borderId="0" xfId="0" applyFill="1" applyAlignment="1">
      <alignment horizontal="center"/>
    </xf>
    <xf numFmtId="1" fontId="0" fillId="0" borderId="0" xfId="0" applyNumberFormat="1" applyFill="1"/>
    <xf numFmtId="3" fontId="0" fillId="0" borderId="0" xfId="0" applyNumberFormat="1" applyFill="1"/>
    <xf numFmtId="0" fontId="0" fillId="0" borderId="0" xfId="0" applyFill="1" applyAlignment="1">
      <alignment horizontal="right"/>
    </xf>
    <xf numFmtId="0" fontId="4" fillId="0" borderId="0" xfId="0" applyFont="1" applyFill="1"/>
    <xf numFmtId="0" fontId="0" fillId="0" borderId="0" xfId="0" applyFill="1" applyBorder="1"/>
    <xf numFmtId="0" fontId="0" fillId="0" borderId="2" xfId="0" applyFill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2" xfId="0" applyFont="1" applyBorder="1"/>
    <xf numFmtId="0" fontId="6" fillId="0" borderId="2" xfId="0" applyFont="1" applyBorder="1"/>
    <xf numFmtId="0" fontId="9" fillId="0" borderId="0" xfId="0" applyFont="1"/>
    <xf numFmtId="0" fontId="9" fillId="0" borderId="0" xfId="0" applyFont="1" applyAlignment="1"/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0" fillId="0" borderId="0" xfId="0" applyFont="1"/>
    <xf numFmtId="0" fontId="6" fillId="0" borderId="0" xfId="0" applyFont="1" applyAlignment="1">
      <alignment vertical="center"/>
    </xf>
    <xf numFmtId="0" fontId="5" fillId="0" borderId="2" xfId="0" applyFont="1" applyBorder="1"/>
    <xf numFmtId="3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/>
    <xf numFmtId="0" fontId="7" fillId="0" borderId="0" xfId="0" applyFont="1" applyAlignment="1"/>
    <xf numFmtId="2" fontId="0" fillId="0" borderId="0" xfId="0" applyNumberFormat="1"/>
    <xf numFmtId="3" fontId="12" fillId="0" borderId="2" xfId="0" applyNumberFormat="1" applyFont="1" applyFill="1" applyBorder="1" applyAlignment="1">
      <alignment horizontal="center" vertical="center"/>
    </xf>
    <xf numFmtId="2" fontId="0" fillId="0" borderId="2" xfId="0" applyNumberFormat="1" applyBorder="1"/>
    <xf numFmtId="0" fontId="13" fillId="0" borderId="0" xfId="0" applyFont="1" applyBorder="1"/>
    <xf numFmtId="0" fontId="14" fillId="0" borderId="2" xfId="0" applyFont="1" applyBorder="1"/>
    <xf numFmtId="0" fontId="15" fillId="0" borderId="2" xfId="0" applyFont="1" applyBorder="1"/>
    <xf numFmtId="0" fontId="15" fillId="0" borderId="0" xfId="0" applyFont="1"/>
    <xf numFmtId="0" fontId="12" fillId="0" borderId="2" xfId="0" applyFont="1" applyFill="1" applyBorder="1"/>
    <xf numFmtId="0" fontId="7" fillId="0" borderId="0" xfId="0" applyFont="1"/>
    <xf numFmtId="0" fontId="6" fillId="0" borderId="0" xfId="0" applyFont="1" applyBorder="1"/>
    <xf numFmtId="0" fontId="7" fillId="0" borderId="0" xfId="0" applyFont="1" applyBorder="1"/>
    <xf numFmtId="0" fontId="16" fillId="0" borderId="0" xfId="0" applyFont="1"/>
    <xf numFmtId="0" fontId="12" fillId="0" borderId="0" xfId="0" applyFont="1" applyBorder="1" applyAlignment="1">
      <alignment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1" fontId="16" fillId="0" borderId="0" xfId="0" applyNumberFormat="1" applyFont="1"/>
    <xf numFmtId="1" fontId="16" fillId="0" borderId="0" xfId="0" applyNumberFormat="1" applyFont="1" applyBorder="1" applyAlignment="1">
      <alignment vertical="center" wrapText="1"/>
    </xf>
    <xf numFmtId="0" fontId="18" fillId="0" borderId="0" xfId="0" applyFont="1"/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left" wrapText="1"/>
    </xf>
    <xf numFmtId="1" fontId="0" fillId="0" borderId="0" xfId="0" applyNumberFormat="1"/>
    <xf numFmtId="0" fontId="19" fillId="0" borderId="2" xfId="0" applyFont="1" applyFill="1" applyBorder="1"/>
    <xf numFmtId="1" fontId="19" fillId="0" borderId="2" xfId="0" applyNumberFormat="1" applyFont="1" applyFill="1" applyBorder="1"/>
    <xf numFmtId="0" fontId="19" fillId="8" borderId="2" xfId="0" applyFont="1" applyFill="1" applyBorder="1"/>
    <xf numFmtId="0" fontId="20" fillId="8" borderId="2" xfId="0" applyFont="1" applyFill="1" applyBorder="1"/>
    <xf numFmtId="1" fontId="20" fillId="8" borderId="2" xfId="0" applyNumberFormat="1" applyFont="1" applyFill="1" applyBorder="1"/>
    <xf numFmtId="0" fontId="19" fillId="0" borderId="0" xfId="0" applyFont="1" applyFill="1"/>
    <xf numFmtId="0" fontId="19" fillId="0" borderId="0" xfId="0" applyFont="1"/>
    <xf numFmtId="0" fontId="20" fillId="2" borderId="2" xfId="0" applyFont="1" applyFill="1" applyBorder="1"/>
    <xf numFmtId="0" fontId="19" fillId="2" borderId="2" xfId="0" applyFont="1" applyFill="1" applyBorder="1"/>
    <xf numFmtId="0" fontId="19" fillId="0" borderId="0" xfId="0" applyFont="1" applyFill="1" applyAlignment="1">
      <alignment horizontal="center"/>
    </xf>
    <xf numFmtId="1" fontId="20" fillId="2" borderId="2" xfId="0" applyNumberFormat="1" applyFont="1" applyFill="1" applyBorder="1"/>
    <xf numFmtId="1" fontId="20" fillId="0" borderId="0" xfId="0" applyNumberFormat="1" applyFont="1" applyFill="1"/>
    <xf numFmtId="0" fontId="19" fillId="0" borderId="0" xfId="0" applyFont="1" applyFill="1" applyBorder="1"/>
    <xf numFmtId="0" fontId="20" fillId="3" borderId="2" xfId="0" applyFont="1" applyFill="1" applyBorder="1"/>
    <xf numFmtId="0" fontId="19" fillId="3" borderId="2" xfId="0" applyFont="1" applyFill="1" applyBorder="1"/>
    <xf numFmtId="1" fontId="19" fillId="3" borderId="2" xfId="0" applyNumberFormat="1" applyFont="1" applyFill="1" applyBorder="1"/>
    <xf numFmtId="1" fontId="20" fillId="3" borderId="2" xfId="0" applyNumberFormat="1" applyFont="1" applyFill="1" applyBorder="1"/>
    <xf numFmtId="1" fontId="19" fillId="0" borderId="0" xfId="0" applyNumberFormat="1" applyFont="1" applyFill="1"/>
    <xf numFmtId="0" fontId="20" fillId="4" borderId="2" xfId="0" applyFont="1" applyFill="1" applyBorder="1"/>
    <xf numFmtId="1" fontId="20" fillId="4" borderId="2" xfId="0" applyNumberFormat="1" applyFont="1" applyFill="1" applyBorder="1"/>
    <xf numFmtId="0" fontId="19" fillId="4" borderId="2" xfId="0" applyFont="1" applyFill="1" applyBorder="1"/>
    <xf numFmtId="1" fontId="19" fillId="4" borderId="2" xfId="0" applyNumberFormat="1" applyFont="1" applyFill="1" applyBorder="1"/>
    <xf numFmtId="0" fontId="20" fillId="5" borderId="2" xfId="0" applyFont="1" applyFill="1" applyBorder="1"/>
    <xf numFmtId="1" fontId="20" fillId="5" borderId="2" xfId="0" applyNumberFormat="1" applyFont="1" applyFill="1" applyBorder="1"/>
    <xf numFmtId="0" fontId="19" fillId="9" borderId="2" xfId="0" applyFont="1" applyFill="1" applyBorder="1"/>
    <xf numFmtId="2" fontId="19" fillId="0" borderId="0" xfId="0" applyNumberFormat="1" applyFont="1" applyFill="1"/>
    <xf numFmtId="0" fontId="19" fillId="5" borderId="2" xfId="0" applyFont="1" applyFill="1" applyBorder="1"/>
    <xf numFmtId="1" fontId="19" fillId="5" borderId="2" xfId="0" applyNumberFormat="1" applyFont="1" applyFill="1" applyBorder="1"/>
    <xf numFmtId="0" fontId="20" fillId="6" borderId="2" xfId="0" applyFont="1" applyFill="1" applyBorder="1"/>
    <xf numFmtId="1" fontId="20" fillId="6" borderId="2" xfId="0" applyNumberFormat="1" applyFont="1" applyFill="1" applyBorder="1"/>
    <xf numFmtId="0" fontId="19" fillId="6" borderId="2" xfId="0" applyFont="1" applyFill="1" applyBorder="1"/>
    <xf numFmtId="1" fontId="19" fillId="6" borderId="2" xfId="0" applyNumberFormat="1" applyFont="1" applyFill="1" applyBorder="1"/>
    <xf numFmtId="0" fontId="20" fillId="7" borderId="2" xfId="0" applyFont="1" applyFill="1" applyBorder="1"/>
    <xf numFmtId="1" fontId="20" fillId="7" borderId="2" xfId="0" applyNumberFormat="1" applyFont="1" applyFill="1" applyBorder="1"/>
    <xf numFmtId="0" fontId="19" fillId="7" borderId="2" xfId="0" applyFont="1" applyFill="1" applyBorder="1"/>
    <xf numFmtId="1" fontId="19" fillId="7" borderId="2" xfId="0" applyNumberFormat="1" applyFont="1" applyFill="1" applyBorder="1"/>
    <xf numFmtId="0" fontId="20" fillId="10" borderId="2" xfId="0" applyFont="1" applyFill="1" applyBorder="1"/>
    <xf numFmtId="0" fontId="19" fillId="10" borderId="2" xfId="0" applyFont="1" applyFill="1" applyBorder="1"/>
    <xf numFmtId="1" fontId="20" fillId="10" borderId="2" xfId="0" applyNumberFormat="1" applyFont="1" applyFill="1" applyBorder="1"/>
    <xf numFmtId="0" fontId="20" fillId="9" borderId="2" xfId="0" applyFont="1" applyFill="1" applyBorder="1"/>
    <xf numFmtId="1" fontId="20" fillId="9" borderId="2" xfId="0" applyNumberFormat="1" applyFont="1" applyFill="1" applyBorder="1"/>
    <xf numFmtId="0" fontId="2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3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/>
    <xf numFmtId="3" fontId="10" fillId="0" borderId="2" xfId="0" applyNumberFormat="1" applyFont="1" applyBorder="1" applyAlignment="1">
      <alignment horizontal="center"/>
    </xf>
    <xf numFmtId="3" fontId="13" fillId="0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0" fontId="0" fillId="0" borderId="0" xfId="0" applyBorder="1"/>
    <xf numFmtId="3" fontId="13" fillId="0" borderId="0" xfId="0" applyNumberFormat="1" applyFont="1" applyFill="1" applyBorder="1" applyAlignment="1">
      <alignment vertical="center"/>
    </xf>
    <xf numFmtId="1" fontId="19" fillId="8" borderId="2" xfId="0" applyNumberFormat="1" applyFont="1" applyFill="1" applyBorder="1"/>
    <xf numFmtId="1" fontId="21" fillId="0" borderId="0" xfId="0" applyNumberFormat="1" applyFont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/>
    <xf numFmtId="0" fontId="9" fillId="0" borderId="2" xfId="0" applyFont="1" applyBorder="1" applyAlignment="1">
      <alignment horizontal="left" wrapText="1"/>
    </xf>
    <xf numFmtId="1" fontId="12" fillId="0" borderId="0" xfId="0" applyNumberFormat="1" applyFont="1" applyBorder="1" applyAlignment="1"/>
    <xf numFmtId="0" fontId="22" fillId="0" borderId="2" xfId="0" applyFont="1" applyBorder="1" applyAlignment="1">
      <alignment horizontal="left" wrapText="1"/>
    </xf>
    <xf numFmtId="0" fontId="23" fillId="0" borderId="2" xfId="0" applyFont="1" applyBorder="1"/>
    <xf numFmtId="0" fontId="24" fillId="0" borderId="2" xfId="0" applyFont="1" applyBorder="1"/>
    <xf numFmtId="1" fontId="6" fillId="0" borderId="6" xfId="0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12" fillId="0" borderId="6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1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25" fillId="0" borderId="2" xfId="0" applyFont="1" applyFill="1" applyBorder="1"/>
    <xf numFmtId="1" fontId="25" fillId="0" borderId="2" xfId="0" applyNumberFormat="1" applyFont="1" applyFill="1" applyBorder="1"/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3" fontId="21" fillId="0" borderId="0" xfId="0" applyNumberFormat="1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0" fontId="19" fillId="0" borderId="2" xfId="0" applyFont="1" applyFill="1" applyBorder="1" applyAlignment="1">
      <alignment wrapText="1"/>
    </xf>
    <xf numFmtId="1" fontId="19" fillId="11" borderId="2" xfId="0" applyNumberFormat="1" applyFont="1" applyFill="1" applyBorder="1"/>
    <xf numFmtId="0" fontId="19" fillId="11" borderId="2" xfId="0" applyFont="1" applyFill="1" applyBorder="1"/>
    <xf numFmtId="0" fontId="19" fillId="0" borderId="2" xfId="0" applyFont="1" applyBorder="1"/>
    <xf numFmtId="0" fontId="27" fillId="11" borderId="2" xfId="0" applyFont="1" applyFill="1" applyBorder="1"/>
    <xf numFmtId="0" fontId="27" fillId="0" borderId="2" xfId="0" applyFont="1" applyFill="1" applyBorder="1"/>
    <xf numFmtId="1" fontId="19" fillId="0" borderId="2" xfId="0" applyNumberFormat="1" applyFont="1" applyBorder="1"/>
    <xf numFmtId="0" fontId="19" fillId="0" borderId="2" xfId="0" applyFont="1" applyFill="1" applyBorder="1" applyAlignment="1">
      <alignment horizontal="center"/>
    </xf>
    <xf numFmtId="164" fontId="0" fillId="0" borderId="0" xfId="0" applyNumberFormat="1"/>
    <xf numFmtId="1" fontId="15" fillId="0" borderId="2" xfId="0" applyNumberFormat="1" applyFont="1" applyBorder="1"/>
    <xf numFmtId="1" fontId="0" fillId="0" borderId="2" xfId="0" applyNumberFormat="1" applyBorder="1"/>
    <xf numFmtId="0" fontId="0" fillId="0" borderId="2" xfId="0" applyFill="1" applyBorder="1"/>
    <xf numFmtId="0" fontId="23" fillId="0" borderId="6" xfId="0" applyFont="1" applyBorder="1" applyAlignment="1"/>
    <xf numFmtId="0" fontId="10" fillId="0" borderId="6" xfId="0" applyFont="1" applyBorder="1"/>
    <xf numFmtId="164" fontId="15" fillId="0" borderId="0" xfId="0" applyNumberFormat="1" applyFont="1"/>
    <xf numFmtId="0" fontId="24" fillId="0" borderId="2" xfId="0" applyFont="1" applyBorder="1" applyAlignment="1"/>
    <xf numFmtId="0" fontId="0" fillId="0" borderId="2" xfId="0" applyFont="1" applyBorder="1"/>
    <xf numFmtId="3" fontId="10" fillId="9" borderId="2" xfId="0" applyNumberFormat="1" applyFont="1" applyFill="1" applyBorder="1" applyAlignment="1">
      <alignment horizontal="center" vertical="center" wrapText="1"/>
    </xf>
    <xf numFmtId="0" fontId="12" fillId="9" borderId="2" xfId="0" applyFont="1" applyFill="1" applyBorder="1"/>
    <xf numFmtId="3" fontId="13" fillId="9" borderId="2" xfId="0" applyNumberFormat="1" applyFont="1" applyFill="1" applyBorder="1" applyAlignment="1">
      <alignment horizontal="right" vertical="center"/>
    </xf>
    <xf numFmtId="3" fontId="13" fillId="9" borderId="2" xfId="0" applyNumberFormat="1" applyFont="1" applyFill="1" applyBorder="1" applyAlignment="1">
      <alignment horizontal="right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 vertical="center"/>
    </xf>
    <xf numFmtId="0" fontId="0" fillId="0" borderId="10" xfId="0" applyBorder="1" applyAlignment="1"/>
    <xf numFmtId="0" fontId="9" fillId="0" borderId="0" xfId="0" applyFont="1" applyBorder="1" applyAlignment="1"/>
    <xf numFmtId="164" fontId="20" fillId="2" borderId="2" xfId="0" applyNumberFormat="1" applyFont="1" applyFill="1" applyBorder="1"/>
    <xf numFmtId="0" fontId="6" fillId="0" borderId="0" xfId="0" applyFont="1" applyAlignment="1">
      <alignment horizontal="left" wrapText="1"/>
    </xf>
    <xf numFmtId="0" fontId="31" fillId="0" borderId="0" xfId="1" applyFont="1"/>
    <xf numFmtId="3" fontId="10" fillId="0" borderId="0" xfId="0" applyNumberFormat="1" applyFont="1" applyAlignment="1">
      <alignment horizontal="center" vertical="center"/>
    </xf>
    <xf numFmtId="1" fontId="19" fillId="9" borderId="2" xfId="0" applyNumberFormat="1" applyFont="1" applyFill="1" applyBorder="1"/>
    <xf numFmtId="3" fontId="13" fillId="0" borderId="2" xfId="0" applyNumberFormat="1" applyFont="1" applyFill="1" applyBorder="1" applyAlignment="1">
      <alignment horizontal="center" vertical="center"/>
    </xf>
    <xf numFmtId="0" fontId="11" fillId="0" borderId="0" xfId="0" applyFont="1" applyAlignment="1"/>
    <xf numFmtId="0" fontId="11" fillId="0" borderId="0" xfId="0" applyFont="1" applyAlignment="1">
      <alignment wrapText="1"/>
    </xf>
    <xf numFmtId="0" fontId="6" fillId="0" borderId="0" xfId="0" applyFont="1" applyBorder="1" applyAlignment="1"/>
    <xf numFmtId="0" fontId="12" fillId="0" borderId="2" xfId="0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0" fillId="0" borderId="0" xfId="0" applyNumberFormat="1"/>
    <xf numFmtId="2" fontId="12" fillId="0" borderId="0" xfId="0" applyNumberFormat="1" applyFont="1"/>
    <xf numFmtId="3" fontId="12" fillId="0" borderId="2" xfId="0" applyNumberFormat="1" applyFont="1" applyBorder="1" applyAlignment="1">
      <alignment horizontal="center"/>
    </xf>
    <xf numFmtId="1" fontId="12" fillId="0" borderId="0" xfId="0" applyNumberFormat="1" applyFont="1"/>
    <xf numFmtId="165" fontId="12" fillId="0" borderId="0" xfId="0" applyNumberFormat="1" applyFont="1"/>
    <xf numFmtId="0" fontId="5" fillId="0" borderId="0" xfId="0" applyFont="1"/>
    <xf numFmtId="0" fontId="12" fillId="0" borderId="0" xfId="0" applyFont="1" applyAlignment="1"/>
    <xf numFmtId="0" fontId="5" fillId="0" borderId="0" xfId="0" applyFont="1" applyAlignment="1"/>
    <xf numFmtId="0" fontId="12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Border="1" applyAlignment="1"/>
    <xf numFmtId="3" fontId="12" fillId="0" borderId="0" xfId="0" applyNumberFormat="1" applyFont="1" applyAlignment="1">
      <alignment horizontal="center" vertical="center"/>
    </xf>
    <xf numFmtId="0" fontId="5" fillId="0" borderId="0" xfId="0" applyFont="1" applyAlignment="1">
      <alignment wrapText="1"/>
    </xf>
    <xf numFmtId="0" fontId="22" fillId="0" borderId="0" xfId="0" applyFont="1" applyBorder="1" applyAlignment="1"/>
    <xf numFmtId="0" fontId="22" fillId="0" borderId="0" xfId="0" applyFont="1"/>
    <xf numFmtId="1" fontId="22" fillId="0" borderId="0" xfId="0" applyNumberFormat="1" applyFont="1"/>
    <xf numFmtId="0" fontId="22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3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 vertical="center"/>
    </xf>
    <xf numFmtId="0" fontId="12" fillId="0" borderId="2" xfId="0" applyFont="1" applyFill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166" fontId="13" fillId="0" borderId="2" xfId="0" applyNumberFormat="1" applyFont="1" applyFill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/>
    </xf>
    <xf numFmtId="167" fontId="13" fillId="0" borderId="0" xfId="0" applyNumberFormat="1" applyFont="1" applyAlignment="1">
      <alignment horizontal="center" vertical="center"/>
    </xf>
    <xf numFmtId="2" fontId="0" fillId="0" borderId="2" xfId="0" applyNumberFormat="1" applyBorder="1" applyAlignment="1">
      <alignment wrapText="1"/>
    </xf>
    <xf numFmtId="1" fontId="9" fillId="0" borderId="2" xfId="0" applyNumberFormat="1" applyFont="1" applyBorder="1"/>
    <xf numFmtId="1" fontId="12" fillId="0" borderId="2" xfId="0" applyNumberFormat="1" applyFont="1" applyBorder="1"/>
    <xf numFmtId="0" fontId="19" fillId="0" borderId="19" xfId="0" applyFont="1" applyFill="1" applyBorder="1" applyAlignment="1">
      <alignment horizontal="center"/>
    </xf>
    <xf numFmtId="0" fontId="20" fillId="2" borderId="20" xfId="0" applyFont="1" applyFill="1" applyBorder="1"/>
    <xf numFmtId="0" fontId="19" fillId="2" borderId="19" xfId="0" applyFont="1" applyFill="1" applyBorder="1"/>
    <xf numFmtId="0" fontId="27" fillId="11" borderId="20" xfId="0" applyFont="1" applyFill="1" applyBorder="1"/>
    <xf numFmtId="1" fontId="19" fillId="11" borderId="19" xfId="0" applyNumberFormat="1" applyFont="1" applyFill="1" applyBorder="1"/>
    <xf numFmtId="0" fontId="27" fillId="0" borderId="20" xfId="0" applyFont="1" applyFill="1" applyBorder="1"/>
    <xf numFmtId="0" fontId="27" fillId="9" borderId="20" xfId="0" applyFont="1" applyFill="1" applyBorder="1"/>
    <xf numFmtId="1" fontId="19" fillId="9" borderId="19" xfId="0" applyNumberFormat="1" applyFont="1" applyFill="1" applyBorder="1"/>
    <xf numFmtId="0" fontId="20" fillId="2" borderId="24" xfId="0" applyFont="1" applyFill="1" applyBorder="1"/>
    <xf numFmtId="0" fontId="20" fillId="2" borderId="16" xfId="0" applyFont="1" applyFill="1" applyBorder="1"/>
    <xf numFmtId="0" fontId="19" fillId="2" borderId="16" xfId="0" applyFont="1" applyFill="1" applyBorder="1"/>
    <xf numFmtId="0" fontId="19" fillId="2" borderId="17" xfId="0" applyFont="1" applyFill="1" applyBorder="1"/>
    <xf numFmtId="0" fontId="19" fillId="12" borderId="20" xfId="0" applyFont="1" applyFill="1" applyBorder="1"/>
    <xf numFmtId="0" fontId="20" fillId="12" borderId="2" xfId="0" applyFont="1" applyFill="1" applyBorder="1" applyAlignment="1">
      <alignment wrapText="1"/>
    </xf>
    <xf numFmtId="1" fontId="20" fillId="12" borderId="2" xfId="0" applyNumberFormat="1" applyFont="1" applyFill="1" applyBorder="1"/>
    <xf numFmtId="0" fontId="20" fillId="12" borderId="2" xfId="0" applyFont="1" applyFill="1" applyBorder="1"/>
    <xf numFmtId="0" fontId="19" fillId="12" borderId="21" xfId="0" applyFont="1" applyFill="1" applyBorder="1"/>
    <xf numFmtId="0" fontId="20" fillId="12" borderId="22" xfId="0" applyFont="1" applyFill="1" applyBorder="1" applyAlignment="1">
      <alignment wrapText="1"/>
    </xf>
    <xf numFmtId="1" fontId="20" fillId="12" borderId="22" xfId="0" applyNumberFormat="1" applyFont="1" applyFill="1" applyBorder="1"/>
    <xf numFmtId="0" fontId="20" fillId="12" borderId="22" xfId="0" applyFont="1" applyFill="1" applyBorder="1"/>
    <xf numFmtId="0" fontId="7" fillId="0" borderId="0" xfId="0" applyFont="1" applyAlignment="1">
      <alignment wrapText="1"/>
    </xf>
    <xf numFmtId="0" fontId="22" fillId="0" borderId="1" xfId="0" applyFont="1" applyBorder="1" applyAlignment="1"/>
    <xf numFmtId="3" fontId="10" fillId="0" borderId="0" xfId="0" applyNumberFormat="1" applyFont="1" applyAlignment="1">
      <alignment vertical="center"/>
    </xf>
    <xf numFmtId="0" fontId="12" fillId="0" borderId="0" xfId="0" applyFont="1" applyAlignment="1">
      <alignment horizontal="left" wrapText="1"/>
    </xf>
    <xf numFmtId="0" fontId="4" fillId="0" borderId="0" xfId="0" applyFont="1"/>
    <xf numFmtId="0" fontId="18" fillId="0" borderId="0" xfId="0" applyFont="1" applyAlignment="1">
      <alignment horizontal="left" wrapText="1"/>
    </xf>
    <xf numFmtId="3" fontId="0" fillId="0" borderId="0" xfId="0" applyNumberFormat="1"/>
    <xf numFmtId="1" fontId="4" fillId="0" borderId="0" xfId="0" applyNumberFormat="1" applyFont="1"/>
    <xf numFmtId="3" fontId="10" fillId="0" borderId="2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165" fontId="20" fillId="12" borderId="19" xfId="0" applyNumberFormat="1" applyFont="1" applyFill="1" applyBorder="1"/>
    <xf numFmtId="165" fontId="20" fillId="12" borderId="23" xfId="0" applyNumberFormat="1" applyFont="1" applyFill="1" applyBorder="1"/>
    <xf numFmtId="3" fontId="12" fillId="0" borderId="2" xfId="0" applyNumberFormat="1" applyFont="1" applyFill="1" applyBorder="1" applyAlignment="1">
      <alignment horizontal="left" wrapText="1"/>
    </xf>
    <xf numFmtId="3" fontId="12" fillId="0" borderId="2" xfId="0" applyNumberFormat="1" applyFont="1" applyBorder="1" applyAlignment="1">
      <alignment horizontal="left" wrapText="1"/>
    </xf>
    <xf numFmtId="3" fontId="22" fillId="0" borderId="0" xfId="0" applyNumberFormat="1" applyFont="1" applyAlignment="1">
      <alignment horizontal="left" wrapText="1"/>
    </xf>
    <xf numFmtId="166" fontId="13" fillId="0" borderId="2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3" fontId="2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3" fontId="10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right" wrapText="1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9" fillId="0" borderId="1" xfId="0" applyFont="1" applyBorder="1" applyAlignment="1"/>
    <xf numFmtId="0" fontId="32" fillId="0" borderId="0" xfId="0" applyFont="1"/>
    <xf numFmtId="0" fontId="0" fillId="0" borderId="25" xfId="0" applyBorder="1" applyAlignment="1"/>
    <xf numFmtId="0" fontId="0" fillId="0" borderId="0" xfId="0" applyBorder="1" applyAlignment="1"/>
    <xf numFmtId="0" fontId="0" fillId="0" borderId="0" xfId="0" applyBorder="1" applyAlignment="1">
      <alignment wrapText="1"/>
    </xf>
    <xf numFmtId="0" fontId="12" fillId="0" borderId="0" xfId="0" applyFont="1" applyBorder="1" applyAlignment="1">
      <alignment wrapText="1"/>
    </xf>
    <xf numFmtId="3" fontId="12" fillId="0" borderId="0" xfId="0" applyNumberFormat="1" applyFont="1" applyBorder="1" applyAlignment="1">
      <alignment horizontal="center"/>
    </xf>
    <xf numFmtId="3" fontId="13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/>
    <xf numFmtId="2" fontId="0" fillId="0" borderId="0" xfId="0" applyNumberFormat="1" applyBorder="1"/>
    <xf numFmtId="0" fontId="10" fillId="0" borderId="0" xfId="0" applyFont="1" applyAlignment="1"/>
    <xf numFmtId="3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3" fontId="5" fillId="0" borderId="6" xfId="0" applyNumberFormat="1" applyFont="1" applyBorder="1" applyAlignment="1">
      <alignment wrapText="1"/>
    </xf>
    <xf numFmtId="0" fontId="12" fillId="0" borderId="0" xfId="0" applyFont="1" applyAlignment="1">
      <alignment horizontal="right"/>
    </xf>
    <xf numFmtId="3" fontId="12" fillId="0" borderId="0" xfId="0" applyNumberFormat="1" applyFont="1" applyBorder="1" applyAlignment="1">
      <alignment horizontal="left" wrapText="1"/>
    </xf>
    <xf numFmtId="1" fontId="12" fillId="0" borderId="0" xfId="0" applyNumberFormat="1" applyFont="1" applyBorder="1"/>
    <xf numFmtId="168" fontId="12" fillId="0" borderId="0" xfId="0" applyNumberFormat="1" applyFont="1"/>
    <xf numFmtId="0" fontId="12" fillId="0" borderId="2" xfId="0" applyFont="1" applyBorder="1" applyAlignment="1">
      <alignment horizontal="left"/>
    </xf>
    <xf numFmtId="166" fontId="13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9" fillId="12" borderId="27" xfId="0" applyFont="1" applyFill="1" applyBorder="1"/>
    <xf numFmtId="0" fontId="20" fillId="12" borderId="4" xfId="0" applyFont="1" applyFill="1" applyBorder="1" applyAlignment="1">
      <alignment wrapText="1"/>
    </xf>
    <xf numFmtId="1" fontId="20" fillId="12" borderId="4" xfId="0" applyNumberFormat="1" applyFont="1" applyFill="1" applyBorder="1"/>
    <xf numFmtId="0" fontId="20" fillId="12" borderId="4" xfId="0" applyFont="1" applyFill="1" applyBorder="1"/>
    <xf numFmtId="165" fontId="20" fillId="12" borderId="28" xfId="0" applyNumberFormat="1" applyFont="1" applyFill="1" applyBorder="1"/>
    <xf numFmtId="0" fontId="19" fillId="12" borderId="29" xfId="0" applyFont="1" applyFill="1" applyBorder="1"/>
    <xf numFmtId="0" fontId="20" fillId="12" borderId="5" xfId="0" applyFont="1" applyFill="1" applyBorder="1" applyAlignment="1">
      <alignment wrapText="1"/>
    </xf>
    <xf numFmtId="1" fontId="20" fillId="12" borderId="5" xfId="0" applyNumberFormat="1" applyFont="1" applyFill="1" applyBorder="1"/>
    <xf numFmtId="0" fontId="20" fillId="12" borderId="5" xfId="0" applyFont="1" applyFill="1" applyBorder="1"/>
    <xf numFmtId="165" fontId="20" fillId="12" borderId="30" xfId="0" applyNumberFormat="1" applyFont="1" applyFill="1" applyBorder="1"/>
    <xf numFmtId="0" fontId="22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right" wrapText="1"/>
    </xf>
    <xf numFmtId="0" fontId="13" fillId="0" borderId="0" xfId="0" applyFont="1" applyAlignment="1">
      <alignment horizontal="left"/>
    </xf>
    <xf numFmtId="3" fontId="12" fillId="0" borderId="0" xfId="0" applyNumberFormat="1" applyFont="1" applyBorder="1" applyAlignment="1">
      <alignment horizontal="left" wrapText="1"/>
    </xf>
    <xf numFmtId="165" fontId="4" fillId="0" borderId="0" xfId="0" applyNumberFormat="1" applyFont="1"/>
    <xf numFmtId="0" fontId="20" fillId="0" borderId="6" xfId="0" applyFont="1" applyBorder="1" applyAlignment="1"/>
    <xf numFmtId="0" fontId="20" fillId="0" borderId="8" xfId="0" applyFont="1" applyBorder="1" applyAlignment="1"/>
    <xf numFmtId="4" fontId="13" fillId="0" borderId="2" xfId="0" applyNumberFormat="1" applyFont="1" applyBorder="1" applyAlignment="1">
      <alignment horizontal="center" vertical="center"/>
    </xf>
    <xf numFmtId="167" fontId="13" fillId="0" borderId="0" xfId="0" applyNumberFormat="1" applyFont="1" applyFill="1" applyBorder="1" applyAlignment="1">
      <alignment horizontal="center" vertical="center"/>
    </xf>
    <xf numFmtId="0" fontId="27" fillId="0" borderId="27" xfId="0" applyFont="1" applyFill="1" applyBorder="1"/>
    <xf numFmtId="1" fontId="19" fillId="0" borderId="4" xfId="0" applyNumberFormat="1" applyFont="1" applyFill="1" applyBorder="1"/>
    <xf numFmtId="1" fontId="19" fillId="11" borderId="28" xfId="0" applyNumberFormat="1" applyFont="1" applyFill="1" applyBorder="1"/>
    <xf numFmtId="0" fontId="19" fillId="12" borderId="24" xfId="0" applyFont="1" applyFill="1" applyBorder="1"/>
    <xf numFmtId="0" fontId="20" fillId="12" borderId="16" xfId="0" applyFont="1" applyFill="1" applyBorder="1" applyAlignment="1">
      <alignment wrapText="1"/>
    </xf>
    <xf numFmtId="1" fontId="20" fillId="12" borderId="16" xfId="0" applyNumberFormat="1" applyFont="1" applyFill="1" applyBorder="1"/>
    <xf numFmtId="0" fontId="20" fillId="12" borderId="16" xfId="0" applyFont="1" applyFill="1" applyBorder="1"/>
    <xf numFmtId="165" fontId="20" fillId="12" borderId="17" xfId="0" applyNumberFormat="1" applyFont="1" applyFill="1" applyBorder="1"/>
    <xf numFmtId="0" fontId="25" fillId="0" borderId="2" xfId="0" applyFont="1" applyFill="1" applyBorder="1" applyAlignment="1">
      <alignment wrapText="1"/>
    </xf>
    <xf numFmtId="0" fontId="25" fillId="0" borderId="0" xfId="0" applyFont="1" applyAlignment="1">
      <alignment wrapText="1"/>
    </xf>
    <xf numFmtId="0" fontId="25" fillId="0" borderId="2" xfId="0" applyFont="1" applyBorder="1"/>
    <xf numFmtId="0" fontId="25" fillId="11" borderId="2" xfId="0" applyFont="1" applyFill="1" applyBorder="1"/>
    <xf numFmtId="0" fontId="25" fillId="11" borderId="4" xfId="0" applyFont="1" applyFill="1" applyBorder="1"/>
    <xf numFmtId="0" fontId="19" fillId="12" borderId="0" xfId="0" applyFont="1" applyFill="1" applyBorder="1"/>
    <xf numFmtId="0" fontId="20" fillId="12" borderId="0" xfId="0" applyFont="1" applyFill="1" applyBorder="1" applyAlignment="1">
      <alignment wrapText="1"/>
    </xf>
    <xf numFmtId="1" fontId="20" fillId="12" borderId="0" xfId="0" applyNumberFormat="1" applyFont="1" applyFill="1" applyBorder="1"/>
    <xf numFmtId="0" fontId="20" fillId="12" borderId="0" xfId="0" applyFont="1" applyFill="1" applyBorder="1"/>
    <xf numFmtId="165" fontId="20" fillId="12" borderId="0" xfId="0" applyNumberFormat="1" applyFont="1" applyFill="1" applyBorder="1"/>
    <xf numFmtId="0" fontId="33" fillId="0" borderId="0" xfId="0" applyFont="1"/>
    <xf numFmtId="0" fontId="36" fillId="0" borderId="0" xfId="0" applyFont="1" applyAlignment="1">
      <alignment horizontal="left" vertical="center"/>
    </xf>
    <xf numFmtId="0" fontId="37" fillId="0" borderId="0" xfId="0" applyFont="1"/>
    <xf numFmtId="169" fontId="37" fillId="0" borderId="0" xfId="2" applyNumberFormat="1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35" fillId="0" borderId="0" xfId="0" applyFont="1" applyAlignment="1">
      <alignment horizontal="left" vertical="top"/>
    </xf>
    <xf numFmtId="0" fontId="37" fillId="0" borderId="0" xfId="0" applyFont="1" applyAlignment="1">
      <alignment horizontal="left" vertical="top"/>
    </xf>
    <xf numFmtId="0" fontId="20" fillId="9" borderId="6" xfId="0" applyFont="1" applyFill="1" applyBorder="1" applyAlignment="1">
      <alignment horizontal="center"/>
    </xf>
    <xf numFmtId="0" fontId="20" fillId="9" borderId="7" xfId="0" applyFont="1" applyFill="1" applyBorder="1" applyAlignment="1">
      <alignment horizontal="center"/>
    </xf>
    <xf numFmtId="0" fontId="20" fillId="9" borderId="8" xfId="0" applyFont="1" applyFill="1" applyBorder="1" applyAlignment="1">
      <alignment horizontal="center"/>
    </xf>
    <xf numFmtId="0" fontId="20" fillId="10" borderId="6" xfId="0" applyFont="1" applyFill="1" applyBorder="1" applyAlignment="1">
      <alignment horizontal="center"/>
    </xf>
    <xf numFmtId="0" fontId="20" fillId="10" borderId="7" xfId="0" applyFont="1" applyFill="1" applyBorder="1" applyAlignment="1">
      <alignment horizontal="center"/>
    </xf>
    <xf numFmtId="0" fontId="20" fillId="10" borderId="8" xfId="0" applyFont="1" applyFill="1" applyBorder="1" applyAlignment="1">
      <alignment horizontal="center"/>
    </xf>
    <xf numFmtId="0" fontId="20" fillId="8" borderId="6" xfId="0" applyFont="1" applyFill="1" applyBorder="1" applyAlignment="1">
      <alignment horizontal="center"/>
    </xf>
    <xf numFmtId="0" fontId="20" fillId="8" borderId="7" xfId="0" applyFont="1" applyFill="1" applyBorder="1" applyAlignment="1">
      <alignment horizontal="center"/>
    </xf>
    <xf numFmtId="0" fontId="20" fillId="8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1" fontId="6" fillId="0" borderId="6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left" indent="30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3" fontId="10" fillId="0" borderId="6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/>
    </xf>
    <xf numFmtId="1" fontId="12" fillId="0" borderId="8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3" fontId="13" fillId="0" borderId="6" xfId="0" applyNumberFormat="1" applyFont="1" applyFill="1" applyBorder="1" applyAlignment="1">
      <alignment horizontal="center" vertical="center"/>
    </xf>
    <xf numFmtId="3" fontId="13" fillId="0" borderId="8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" fontId="13" fillId="0" borderId="6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3" fontId="13" fillId="0" borderId="6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9" fillId="0" borderId="1" xfId="0" applyFont="1" applyBorder="1" applyAlignment="1">
      <alignment horizontal="right"/>
    </xf>
    <xf numFmtId="0" fontId="6" fillId="0" borderId="0" xfId="0" applyFont="1" applyAlignment="1">
      <alignment horizontal="left" wrapText="1"/>
    </xf>
    <xf numFmtId="1" fontId="12" fillId="0" borderId="6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0" fontId="30" fillId="0" borderId="1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/>
    </xf>
    <xf numFmtId="0" fontId="20" fillId="0" borderId="8" xfId="0" applyFont="1" applyBorder="1" applyAlignment="1">
      <alignment horizontal="left"/>
    </xf>
    <xf numFmtId="0" fontId="10" fillId="0" borderId="0" xfId="0" applyFont="1" applyAlignment="1">
      <alignment horizontal="left"/>
    </xf>
    <xf numFmtId="3" fontId="21" fillId="0" borderId="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4" fillId="0" borderId="6" xfId="0" applyFont="1" applyBorder="1" applyAlignment="1">
      <alignment horizontal="left"/>
    </xf>
    <xf numFmtId="0" fontId="24" fillId="0" borderId="7" xfId="0" applyFont="1" applyBorder="1" applyAlignment="1">
      <alignment horizontal="left"/>
    </xf>
    <xf numFmtId="0" fontId="24" fillId="0" borderId="8" xfId="0" applyFont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9" fillId="0" borderId="14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right"/>
    </xf>
    <xf numFmtId="3" fontId="12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/>
    </xf>
    <xf numFmtId="3" fontId="12" fillId="14" borderId="2" xfId="0" applyNumberFormat="1" applyFont="1" applyFill="1" applyBorder="1" applyAlignment="1">
      <alignment horizontal="center" vertical="center" wrapText="1"/>
    </xf>
    <xf numFmtId="0" fontId="12" fillId="14" borderId="2" xfId="0" applyFont="1" applyFill="1" applyBorder="1" applyAlignment="1">
      <alignment horizontal="center" vertical="center"/>
    </xf>
    <xf numFmtId="0" fontId="12" fillId="14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2" fillId="14" borderId="2" xfId="0" applyFont="1" applyFill="1" applyBorder="1"/>
    <xf numFmtId="3" fontId="12" fillId="14" borderId="2" xfId="0" applyNumberFormat="1" applyFont="1" applyFill="1" applyBorder="1" applyAlignment="1">
      <alignment horizontal="center" vertical="center"/>
    </xf>
    <xf numFmtId="0" fontId="13" fillId="14" borderId="2" xfId="0" applyFont="1" applyFill="1" applyBorder="1"/>
    <xf numFmtId="0" fontId="17" fillId="0" borderId="0" xfId="0" applyFont="1"/>
    <xf numFmtId="0" fontId="13" fillId="0" borderId="0" xfId="0" applyFont="1"/>
    <xf numFmtId="3" fontId="21" fillId="11" borderId="0" xfId="0" applyNumberFormat="1" applyFont="1" applyFill="1" applyAlignment="1">
      <alignment horizontal="center" vertical="center"/>
    </xf>
    <xf numFmtId="1" fontId="21" fillId="11" borderId="0" xfId="0" applyNumberFormat="1" applyFont="1" applyFill="1" applyAlignment="1">
      <alignment horizontal="center"/>
    </xf>
    <xf numFmtId="3" fontId="21" fillId="11" borderId="0" xfId="0" applyNumberFormat="1" applyFont="1" applyFill="1" applyAlignment="1">
      <alignment horizontal="center" wrapText="1"/>
    </xf>
    <xf numFmtId="3" fontId="38" fillId="11" borderId="0" xfId="0" applyNumberFormat="1" applyFont="1" applyFill="1" applyAlignment="1">
      <alignment horizontal="center" wrapText="1"/>
    </xf>
    <xf numFmtId="4" fontId="12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39" fillId="0" borderId="0" xfId="0" applyFont="1" applyAlignment="1">
      <alignment horizontal="left" vertical="top"/>
    </xf>
    <xf numFmtId="0" fontId="39" fillId="0" borderId="0" xfId="0" applyFont="1" applyAlignment="1">
      <alignment vertical="top"/>
    </xf>
    <xf numFmtId="0" fontId="4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41" fillId="0" borderId="0" xfId="0" applyFont="1" applyAlignment="1">
      <alignment horizontal="left" vertical="center"/>
    </xf>
    <xf numFmtId="0" fontId="39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left"/>
    </xf>
    <xf numFmtId="0" fontId="41" fillId="0" borderId="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center" indent="5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abSelected="1" view="pageBreakPreview" zoomScale="85" zoomScaleSheetLayoutView="85" workbookViewId="0">
      <selection activeCell="C27" sqref="C27"/>
    </sheetView>
  </sheetViews>
  <sheetFormatPr defaultRowHeight="15" x14ac:dyDescent="0.25"/>
  <cols>
    <col min="1" max="1" width="4" customWidth="1"/>
    <col min="2" max="2" width="69.85546875" customWidth="1"/>
    <col min="3" max="3" width="15.42578125" bestFit="1" customWidth="1"/>
    <col min="4" max="5" width="11.85546875" bestFit="1" customWidth="1"/>
    <col min="6" max="6" width="17.5703125" customWidth="1"/>
    <col min="7" max="8" width="11.85546875" bestFit="1" customWidth="1"/>
    <col min="9" max="9" width="12.42578125" bestFit="1" customWidth="1"/>
    <col min="10" max="10" width="24.28515625" customWidth="1"/>
    <col min="11" max="11" width="0.140625" customWidth="1"/>
  </cols>
  <sheetData>
    <row r="1" spans="1:11" x14ac:dyDescent="0.25">
      <c r="A1" s="441" t="s">
        <v>1</v>
      </c>
      <c r="B1" s="441"/>
      <c r="C1" s="441"/>
      <c r="D1" s="441"/>
      <c r="E1" s="441"/>
      <c r="F1" s="441"/>
      <c r="G1" s="441"/>
      <c r="H1" s="441"/>
      <c r="I1" s="441"/>
      <c r="J1" s="441"/>
      <c r="K1" s="11"/>
    </row>
    <row r="2" spans="1:11" x14ac:dyDescent="0.25">
      <c r="A2" s="441" t="s">
        <v>33</v>
      </c>
      <c r="B2" s="441"/>
      <c r="C2" s="441"/>
      <c r="D2" s="441"/>
      <c r="E2" s="441"/>
      <c r="F2" s="441"/>
      <c r="G2" s="441"/>
      <c r="H2" s="441"/>
      <c r="I2" s="441"/>
      <c r="J2" s="441"/>
      <c r="K2" s="11"/>
    </row>
    <row r="3" spans="1:11" ht="19.5" customHeight="1" x14ac:dyDescent="0.25">
      <c r="A3" s="441" t="s">
        <v>15</v>
      </c>
      <c r="B3" s="441"/>
      <c r="C3" s="441"/>
      <c r="D3" s="441"/>
      <c r="E3" s="441"/>
      <c r="F3" s="441"/>
      <c r="G3" s="441"/>
      <c r="H3" s="441"/>
      <c r="I3" s="441"/>
      <c r="J3" s="441"/>
      <c r="K3" s="11"/>
    </row>
    <row r="4" spans="1:11" x14ac:dyDescent="0.2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1"/>
    </row>
    <row r="5" spans="1:11" x14ac:dyDescent="0.25">
      <c r="A5" s="444" t="s">
        <v>193</v>
      </c>
      <c r="B5" s="444"/>
      <c r="C5" s="444"/>
      <c r="D5" s="444"/>
      <c r="E5" s="444"/>
      <c r="F5" s="444"/>
      <c r="G5" s="444"/>
      <c r="H5" s="444"/>
      <c r="I5" s="444"/>
      <c r="J5" s="444"/>
      <c r="K5" s="11"/>
    </row>
    <row r="6" spans="1:11" ht="15.75" customHeight="1" x14ac:dyDescent="0.25">
      <c r="A6" s="324" t="s">
        <v>3</v>
      </c>
      <c r="B6" s="325" t="s">
        <v>29</v>
      </c>
      <c r="C6" s="445" t="s">
        <v>223</v>
      </c>
      <c r="D6" s="446" t="s">
        <v>224</v>
      </c>
      <c r="E6" s="446"/>
      <c r="F6" s="447" t="s">
        <v>225</v>
      </c>
      <c r="G6" s="447"/>
      <c r="H6" s="447" t="s">
        <v>71</v>
      </c>
      <c r="I6" s="447"/>
      <c r="J6" s="447" t="s">
        <v>72</v>
      </c>
    </row>
    <row r="7" spans="1:11" ht="15" customHeight="1" x14ac:dyDescent="0.25">
      <c r="A7" s="324"/>
      <c r="B7" s="325"/>
      <c r="C7" s="445"/>
      <c r="D7" s="446"/>
      <c r="E7" s="446"/>
      <c r="F7" s="447"/>
      <c r="G7" s="447"/>
      <c r="H7" s="447"/>
      <c r="I7" s="447"/>
      <c r="J7" s="447"/>
    </row>
    <row r="8" spans="1:11" ht="28.5" customHeight="1" x14ac:dyDescent="0.25">
      <c r="A8" s="324"/>
      <c r="B8" s="325"/>
      <c r="C8" s="167" t="s">
        <v>148</v>
      </c>
      <c r="D8" s="167" t="s">
        <v>148</v>
      </c>
      <c r="E8" s="167" t="s">
        <v>173</v>
      </c>
      <c r="F8" s="167" t="s">
        <v>148</v>
      </c>
      <c r="G8" s="167" t="s">
        <v>173</v>
      </c>
      <c r="H8" s="448" t="s">
        <v>148</v>
      </c>
      <c r="I8" s="448" t="s">
        <v>173</v>
      </c>
      <c r="J8" s="448" t="s">
        <v>90</v>
      </c>
    </row>
    <row r="9" spans="1:11" x14ac:dyDescent="0.25">
      <c r="A9" s="449">
        <v>1</v>
      </c>
      <c r="B9" s="449" t="s">
        <v>194</v>
      </c>
      <c r="C9" s="450"/>
      <c r="D9" s="449"/>
      <c r="E9" s="449"/>
      <c r="F9" s="449"/>
      <c r="G9" s="449"/>
      <c r="H9" s="449"/>
      <c r="I9" s="449"/>
      <c r="J9" s="449"/>
    </row>
    <row r="10" spans="1:11" x14ac:dyDescent="0.25">
      <c r="A10" s="27"/>
      <c r="B10" s="27" t="s">
        <v>197</v>
      </c>
      <c r="C10" s="26">
        <v>43834</v>
      </c>
      <c r="D10" s="26">
        <v>52836</v>
      </c>
      <c r="E10" s="26">
        <v>27412</v>
      </c>
      <c r="F10" s="26">
        <v>48832</v>
      </c>
      <c r="G10" s="26">
        <v>22918</v>
      </c>
      <c r="H10" s="26">
        <v>53480</v>
      </c>
      <c r="I10" s="26">
        <v>34265</v>
      </c>
      <c r="J10" s="26">
        <v>54243</v>
      </c>
    </row>
    <row r="11" spans="1:11" x14ac:dyDescent="0.25">
      <c r="A11" s="27"/>
      <c r="B11" s="27" t="s">
        <v>198</v>
      </c>
      <c r="C11" s="26">
        <v>33264</v>
      </c>
      <c r="D11" s="26">
        <v>42266</v>
      </c>
      <c r="E11" s="26">
        <v>22127</v>
      </c>
      <c r="F11" s="26">
        <v>38262</v>
      </c>
      <c r="G11" s="26">
        <v>17633</v>
      </c>
      <c r="H11" s="26">
        <v>42910</v>
      </c>
      <c r="I11" s="26">
        <v>28980</v>
      </c>
      <c r="J11" s="26">
        <v>39123</v>
      </c>
    </row>
    <row r="12" spans="1:11" x14ac:dyDescent="0.25">
      <c r="A12" s="27"/>
      <c r="B12" s="27" t="s">
        <v>8</v>
      </c>
      <c r="C12" s="26">
        <v>66794</v>
      </c>
      <c r="D12" s="26">
        <v>75796</v>
      </c>
      <c r="E12" s="26">
        <v>38892</v>
      </c>
      <c r="F12" s="26">
        <v>71792</v>
      </c>
      <c r="G12" s="26">
        <v>34398</v>
      </c>
      <c r="H12" s="26">
        <v>76440</v>
      </c>
      <c r="I12" s="26">
        <v>45745</v>
      </c>
      <c r="J12" s="26">
        <v>87003</v>
      </c>
    </row>
    <row r="13" spans="1:11" x14ac:dyDescent="0.25">
      <c r="A13" s="449">
        <v>2</v>
      </c>
      <c r="B13" s="449" t="s">
        <v>195</v>
      </c>
      <c r="C13" s="450"/>
      <c r="D13" s="450"/>
      <c r="E13" s="450"/>
      <c r="F13" s="450"/>
      <c r="G13" s="450"/>
      <c r="H13" s="450"/>
      <c r="I13" s="450"/>
      <c r="J13" s="450"/>
    </row>
    <row r="14" spans="1:11" x14ac:dyDescent="0.25">
      <c r="A14" s="27"/>
      <c r="B14" s="27" t="s">
        <v>197</v>
      </c>
      <c r="C14" s="26">
        <v>46494</v>
      </c>
      <c r="D14" s="26">
        <v>55496</v>
      </c>
      <c r="E14" s="26">
        <v>28742</v>
      </c>
      <c r="F14" s="26">
        <v>51492</v>
      </c>
      <c r="G14" s="26">
        <v>24248</v>
      </c>
      <c r="H14" s="26">
        <v>56140</v>
      </c>
      <c r="I14" s="26">
        <v>35595</v>
      </c>
      <c r="J14" s="26">
        <v>58023</v>
      </c>
    </row>
    <row r="15" spans="1:11" x14ac:dyDescent="0.25">
      <c r="A15" s="27"/>
      <c r="B15" s="27" t="s">
        <v>198</v>
      </c>
      <c r="C15" s="26">
        <v>35924</v>
      </c>
      <c r="D15" s="26">
        <v>44926</v>
      </c>
      <c r="E15" s="26">
        <v>23457</v>
      </c>
      <c r="F15" s="26">
        <v>40922</v>
      </c>
      <c r="G15" s="26">
        <v>18963</v>
      </c>
      <c r="H15" s="26">
        <v>45570</v>
      </c>
      <c r="I15" s="26">
        <v>30310</v>
      </c>
      <c r="J15" s="26">
        <v>42903</v>
      </c>
    </row>
    <row r="16" spans="1:11" x14ac:dyDescent="0.25">
      <c r="A16" s="27"/>
      <c r="B16" s="27" t="s">
        <v>8</v>
      </c>
      <c r="C16" s="26">
        <v>69440</v>
      </c>
      <c r="D16" s="26">
        <v>78456</v>
      </c>
      <c r="E16" s="26">
        <v>40222</v>
      </c>
      <c r="F16" s="26">
        <v>74452</v>
      </c>
      <c r="G16" s="26">
        <v>35728</v>
      </c>
      <c r="H16" s="26">
        <v>79100</v>
      </c>
      <c r="I16" s="26">
        <v>47075</v>
      </c>
      <c r="J16" s="26">
        <v>90783</v>
      </c>
    </row>
    <row r="17" spans="1:11" x14ac:dyDescent="0.25">
      <c r="A17" s="449">
        <v>3</v>
      </c>
      <c r="B17" s="449" t="s">
        <v>196</v>
      </c>
      <c r="C17" s="450"/>
      <c r="D17" s="450"/>
      <c r="E17" s="450"/>
      <c r="F17" s="450"/>
      <c r="G17" s="450"/>
      <c r="H17" s="450"/>
      <c r="I17" s="450"/>
      <c r="J17" s="450"/>
    </row>
    <row r="18" spans="1:11" x14ac:dyDescent="0.25">
      <c r="A18" s="27"/>
      <c r="B18" s="27" t="s">
        <v>197</v>
      </c>
      <c r="C18" s="26">
        <v>48804</v>
      </c>
      <c r="D18" s="26">
        <v>57806</v>
      </c>
      <c r="E18" s="26">
        <v>29897</v>
      </c>
      <c r="F18" s="26">
        <v>53802</v>
      </c>
      <c r="G18" s="26">
        <v>25403</v>
      </c>
      <c r="H18" s="26">
        <v>58450</v>
      </c>
      <c r="I18" s="26">
        <v>36750</v>
      </c>
      <c r="J18" s="26">
        <v>61278</v>
      </c>
    </row>
    <row r="19" spans="1:11" x14ac:dyDescent="0.25">
      <c r="A19" s="27"/>
      <c r="B19" s="27" t="s">
        <v>198</v>
      </c>
      <c r="C19" s="26">
        <v>38234</v>
      </c>
      <c r="D19" s="26">
        <v>47236</v>
      </c>
      <c r="E19" s="26">
        <v>24612</v>
      </c>
      <c r="F19" s="26">
        <v>43232</v>
      </c>
      <c r="G19" s="26">
        <v>20118</v>
      </c>
      <c r="H19" s="26">
        <v>47880</v>
      </c>
      <c r="I19" s="26">
        <v>31465</v>
      </c>
      <c r="J19" s="26">
        <v>46158</v>
      </c>
    </row>
    <row r="20" spans="1:11" x14ac:dyDescent="0.25">
      <c r="A20" s="27"/>
      <c r="B20" s="27" t="s">
        <v>8</v>
      </c>
      <c r="C20" s="26">
        <v>71694</v>
      </c>
      <c r="D20" s="26">
        <v>80696</v>
      </c>
      <c r="E20" s="26">
        <v>41342</v>
      </c>
      <c r="F20" s="26">
        <v>76692</v>
      </c>
      <c r="G20" s="26">
        <v>36848</v>
      </c>
      <c r="H20" s="26">
        <v>81340</v>
      </c>
      <c r="I20" s="26">
        <v>48195</v>
      </c>
      <c r="J20" s="26">
        <v>94038</v>
      </c>
      <c r="K20" s="100"/>
    </row>
    <row r="21" spans="1:11" x14ac:dyDescent="0.25">
      <c r="A21" s="451">
        <v>4</v>
      </c>
      <c r="B21" s="449" t="s">
        <v>83</v>
      </c>
      <c r="C21" s="450"/>
      <c r="D21" s="450"/>
      <c r="E21" s="450"/>
      <c r="F21" s="450"/>
      <c r="G21" s="450"/>
      <c r="H21" s="450"/>
      <c r="I21" s="450"/>
      <c r="J21" s="450"/>
      <c r="K21" s="43"/>
    </row>
    <row r="22" spans="1:11" x14ac:dyDescent="0.25">
      <c r="A22" s="27"/>
      <c r="B22" s="27" t="s">
        <v>199</v>
      </c>
      <c r="C22" s="26"/>
      <c r="D22" s="26"/>
      <c r="E22" s="26"/>
      <c r="F22" s="26"/>
      <c r="G22" s="26"/>
      <c r="H22" s="26">
        <v>38430</v>
      </c>
      <c r="I22" s="26">
        <v>26740</v>
      </c>
      <c r="J22" s="26">
        <v>32718</v>
      </c>
      <c r="K22" s="43"/>
    </row>
    <row r="23" spans="1:11" x14ac:dyDescent="0.25">
      <c r="A23" s="108"/>
      <c r="B23" s="27" t="s">
        <v>200</v>
      </c>
      <c r="C23" s="26"/>
      <c r="D23" s="26"/>
      <c r="E23" s="26"/>
      <c r="F23" s="26"/>
      <c r="G23" s="26"/>
      <c r="H23" s="26">
        <v>41090</v>
      </c>
      <c r="I23" s="26">
        <v>28070</v>
      </c>
      <c r="J23" s="26">
        <v>36498</v>
      </c>
      <c r="K23" s="45"/>
    </row>
    <row r="24" spans="1:11" x14ac:dyDescent="0.25">
      <c r="A24" s="452"/>
      <c r="B24" s="453"/>
      <c r="C24" s="454" t="e">
        <f>#REF!</f>
        <v>#REF!</v>
      </c>
      <c r="D24" s="455" t="e">
        <f>#REF!</f>
        <v>#REF!</v>
      </c>
      <c r="E24" s="455" t="e">
        <f>#REF!</f>
        <v>#REF!</v>
      </c>
      <c r="F24" s="455" t="e">
        <f>#REF!</f>
        <v>#REF!</v>
      </c>
      <c r="G24" s="455" t="e">
        <f>#REF!</f>
        <v>#REF!</v>
      </c>
      <c r="H24" s="456" t="e">
        <f>#REF!</f>
        <v>#REF!</v>
      </c>
      <c r="I24" s="457" t="e">
        <f>H24</f>
        <v>#REF!</v>
      </c>
      <c r="J24" s="458"/>
      <c r="K24" s="319"/>
    </row>
    <row r="25" spans="1:11" x14ac:dyDescent="0.25">
      <c r="A25" s="459"/>
      <c r="B25" s="460" t="s">
        <v>217</v>
      </c>
      <c r="C25" s="460"/>
      <c r="D25" s="460"/>
      <c r="E25" s="460"/>
      <c r="F25" s="461" t="s">
        <v>218</v>
      </c>
      <c r="G25" s="461"/>
      <c r="H25" s="461"/>
      <c r="I25" s="461"/>
      <c r="J25" s="461"/>
    </row>
    <row r="26" spans="1:11" x14ac:dyDescent="0.25">
      <c r="A26" s="459"/>
      <c r="B26" s="462" t="s">
        <v>201</v>
      </c>
      <c r="C26" s="175"/>
      <c r="D26" s="175"/>
      <c r="E26" s="175"/>
      <c r="F26" s="463" t="s">
        <v>202</v>
      </c>
      <c r="G26" s="463"/>
      <c r="H26" s="463"/>
      <c r="I26" s="463"/>
      <c r="J26" s="463"/>
    </row>
    <row r="27" spans="1:11" x14ac:dyDescent="0.25">
      <c r="A27" s="459"/>
      <c r="B27" s="462" t="s">
        <v>203</v>
      </c>
      <c r="C27" s="178"/>
      <c r="D27" s="178"/>
      <c r="E27" s="178"/>
      <c r="F27" s="464" t="s">
        <v>204</v>
      </c>
      <c r="G27" s="178"/>
      <c r="H27" s="178"/>
      <c r="I27" s="178"/>
      <c r="J27" s="178"/>
    </row>
    <row r="28" spans="1:11" x14ac:dyDescent="0.25">
      <c r="A28" s="459"/>
      <c r="B28" s="462"/>
      <c r="C28" s="178"/>
      <c r="D28" s="178"/>
      <c r="E28" s="178"/>
      <c r="F28" s="464"/>
      <c r="G28" s="178"/>
      <c r="H28" s="178"/>
      <c r="I28" s="178"/>
      <c r="J28" s="178"/>
    </row>
    <row r="29" spans="1:11" ht="20.25" customHeight="1" x14ac:dyDescent="0.25">
      <c r="A29" s="459"/>
      <c r="B29" s="465" t="s">
        <v>219</v>
      </c>
      <c r="C29" s="465"/>
      <c r="D29" s="465"/>
      <c r="E29" s="465"/>
      <c r="F29" s="466" t="s">
        <v>220</v>
      </c>
      <c r="G29" s="466"/>
      <c r="H29" s="466"/>
      <c r="I29" s="466"/>
      <c r="J29" s="466"/>
    </row>
    <row r="30" spans="1:11" x14ac:dyDescent="0.25">
      <c r="A30" s="459"/>
      <c r="B30" s="467" t="s">
        <v>205</v>
      </c>
      <c r="C30" s="175"/>
      <c r="D30" s="175"/>
      <c r="E30" s="175"/>
      <c r="F30" s="466"/>
      <c r="G30" s="466"/>
      <c r="H30" s="466"/>
      <c r="I30" s="466"/>
      <c r="J30" s="466"/>
    </row>
    <row r="31" spans="1:11" ht="20.25" customHeight="1" x14ac:dyDescent="0.25">
      <c r="A31" s="459"/>
      <c r="B31" s="466" t="s">
        <v>206</v>
      </c>
      <c r="C31" s="466"/>
      <c r="D31" s="175"/>
      <c r="E31" s="175"/>
      <c r="F31" s="468" t="s">
        <v>207</v>
      </c>
      <c r="G31" s="468"/>
      <c r="H31" s="468"/>
      <c r="I31" s="468"/>
      <c r="J31" s="468"/>
    </row>
    <row r="32" spans="1:11" ht="20.25" customHeight="1" x14ac:dyDescent="0.25">
      <c r="A32" s="459"/>
      <c r="B32" s="466" t="s">
        <v>208</v>
      </c>
      <c r="C32" s="466"/>
      <c r="D32" s="175"/>
      <c r="E32" s="175"/>
      <c r="F32" s="469" t="s">
        <v>209</v>
      </c>
      <c r="G32" s="469"/>
      <c r="H32" s="469"/>
      <c r="I32" s="469"/>
      <c r="J32" s="469"/>
    </row>
    <row r="33" spans="1:10" ht="21" customHeight="1" x14ac:dyDescent="0.25">
      <c r="A33" s="459"/>
      <c r="B33" s="467"/>
      <c r="C33" s="175"/>
      <c r="D33" s="175"/>
      <c r="E33" s="175"/>
      <c r="F33" s="464"/>
      <c r="G33" s="175"/>
      <c r="H33" s="175"/>
      <c r="I33" s="175"/>
      <c r="J33" s="175"/>
    </row>
    <row r="34" spans="1:10" ht="20.25" customHeight="1" x14ac:dyDescent="0.25">
      <c r="A34" s="459"/>
      <c r="B34" s="460" t="s">
        <v>221</v>
      </c>
      <c r="C34" s="460"/>
      <c r="D34" s="460"/>
      <c r="E34" s="460"/>
      <c r="F34" s="468" t="s">
        <v>222</v>
      </c>
      <c r="G34" s="468"/>
      <c r="H34" s="468"/>
      <c r="I34" s="468"/>
      <c r="J34" s="468"/>
    </row>
    <row r="35" spans="1:10" ht="20.25" customHeight="1" x14ac:dyDescent="0.25">
      <c r="A35" s="459"/>
      <c r="B35" s="470" t="s">
        <v>210</v>
      </c>
      <c r="C35" s="178"/>
      <c r="D35" s="178"/>
      <c r="E35" s="178"/>
      <c r="F35" s="466" t="s">
        <v>211</v>
      </c>
      <c r="G35" s="466"/>
      <c r="H35" s="466"/>
      <c r="I35" s="466"/>
      <c r="J35" s="466"/>
    </row>
    <row r="36" spans="1:10" ht="20.25" customHeight="1" x14ac:dyDescent="0.25">
      <c r="A36" s="459"/>
      <c r="B36" s="464" t="s">
        <v>212</v>
      </c>
      <c r="C36" s="178"/>
      <c r="D36" s="178"/>
      <c r="E36" s="178"/>
      <c r="F36" s="466" t="s">
        <v>213</v>
      </c>
      <c r="G36" s="466"/>
      <c r="H36" s="466"/>
      <c r="I36" s="466"/>
      <c r="J36" s="466"/>
    </row>
    <row r="37" spans="1:10" ht="20.25" customHeight="1" x14ac:dyDescent="0.25">
      <c r="A37" s="459"/>
      <c r="B37" s="464" t="s">
        <v>214</v>
      </c>
      <c r="C37" s="323"/>
      <c r="D37" s="323"/>
      <c r="E37" s="323"/>
      <c r="F37" s="471" t="s">
        <v>215</v>
      </c>
      <c r="G37" s="471"/>
      <c r="H37" s="471"/>
      <c r="I37" s="471"/>
      <c r="J37" s="471"/>
    </row>
    <row r="38" spans="1:10" x14ac:dyDescent="0.25">
      <c r="A38" s="459"/>
      <c r="B38" s="472"/>
      <c r="C38" s="472"/>
      <c r="D38" s="472"/>
      <c r="E38" s="472"/>
      <c r="F38" s="473" t="s">
        <v>216</v>
      </c>
      <c r="G38" s="473"/>
      <c r="H38" s="474"/>
      <c r="I38" s="474"/>
      <c r="J38" s="474"/>
    </row>
    <row r="39" spans="1:10" x14ac:dyDescent="0.25">
      <c r="A39" s="459"/>
      <c r="B39" s="475"/>
      <c r="C39" s="105"/>
      <c r="D39" s="105"/>
      <c r="E39" s="105"/>
      <c r="F39" s="105"/>
      <c r="G39" s="105"/>
      <c r="H39" s="105"/>
      <c r="I39" s="105"/>
      <c r="J39" s="105"/>
    </row>
    <row r="40" spans="1:10" x14ac:dyDescent="0.25">
      <c r="A40" s="459"/>
      <c r="B40" s="105"/>
      <c r="C40" s="105"/>
      <c r="D40" s="105"/>
      <c r="E40" s="105"/>
      <c r="F40" s="105"/>
      <c r="G40" s="105"/>
      <c r="H40" s="105"/>
      <c r="I40" s="105"/>
      <c r="J40" s="105"/>
    </row>
    <row r="41" spans="1:10" ht="20.25" x14ac:dyDescent="0.3">
      <c r="B41" s="321"/>
      <c r="C41" s="321"/>
      <c r="D41" s="321"/>
      <c r="E41" s="321"/>
      <c r="F41" s="321"/>
      <c r="G41" s="321"/>
      <c r="H41" s="321"/>
      <c r="I41" s="321"/>
      <c r="J41" s="321"/>
    </row>
    <row r="42" spans="1:10" ht="20.25" x14ac:dyDescent="0.3">
      <c r="B42" s="321"/>
      <c r="C42" s="321"/>
      <c r="D42" s="321"/>
      <c r="E42" s="321"/>
      <c r="F42" s="321"/>
      <c r="G42" s="321"/>
      <c r="H42" s="321"/>
      <c r="I42" s="321"/>
      <c r="J42" s="321"/>
    </row>
    <row r="43" spans="1:10" ht="20.25" x14ac:dyDescent="0.3">
      <c r="B43" s="321"/>
      <c r="C43" s="321"/>
      <c r="D43" s="321"/>
      <c r="E43" s="321"/>
      <c r="F43" s="321"/>
      <c r="G43" s="321"/>
      <c r="H43" s="321"/>
      <c r="I43" s="321"/>
      <c r="J43" s="321"/>
    </row>
    <row r="44" spans="1:10" ht="20.25" x14ac:dyDescent="0.3">
      <c r="B44" s="321"/>
      <c r="C44" s="321"/>
      <c r="D44" s="321"/>
      <c r="E44" s="321"/>
      <c r="F44" s="321"/>
      <c r="G44" s="321"/>
      <c r="H44" s="321"/>
      <c r="I44" s="321"/>
      <c r="J44" s="321"/>
    </row>
    <row r="45" spans="1:10" ht="20.25" x14ac:dyDescent="0.3">
      <c r="B45" s="321"/>
      <c r="C45" s="321"/>
      <c r="D45" s="321"/>
      <c r="E45" s="321"/>
      <c r="F45" s="321"/>
      <c r="G45" s="321"/>
      <c r="H45" s="321"/>
      <c r="I45" s="321"/>
      <c r="J45" s="321"/>
    </row>
    <row r="46" spans="1:10" ht="20.25" x14ac:dyDescent="0.3">
      <c r="B46" s="321"/>
      <c r="C46" s="321"/>
      <c r="D46" s="321"/>
      <c r="E46" s="321"/>
      <c r="F46" s="321"/>
      <c r="G46" s="321"/>
      <c r="H46" s="321"/>
      <c r="I46" s="321"/>
      <c r="J46" s="321"/>
    </row>
    <row r="47" spans="1:10" ht="20.25" x14ac:dyDescent="0.3">
      <c r="B47" s="321"/>
      <c r="C47" s="321"/>
      <c r="D47" s="321"/>
      <c r="E47" s="321"/>
      <c r="F47" s="321"/>
      <c r="G47" s="321"/>
      <c r="H47" s="321"/>
      <c r="I47" s="321"/>
      <c r="J47" s="321"/>
    </row>
    <row r="48" spans="1:10" ht="20.25" x14ac:dyDescent="0.3">
      <c r="B48" s="321"/>
      <c r="C48" s="321"/>
      <c r="D48" s="321"/>
      <c r="E48" s="321"/>
      <c r="F48" s="321"/>
      <c r="G48" s="321"/>
      <c r="H48" s="321"/>
      <c r="I48" s="321"/>
      <c r="J48" s="321"/>
    </row>
    <row r="49" spans="2:10" ht="20.25" x14ac:dyDescent="0.3">
      <c r="B49" s="321"/>
      <c r="C49" s="321"/>
      <c r="D49" s="321"/>
      <c r="E49" s="321"/>
      <c r="F49" s="321"/>
      <c r="G49" s="321"/>
      <c r="H49" s="321"/>
      <c r="I49" s="321"/>
      <c r="J49" s="321"/>
    </row>
    <row r="50" spans="2:10" ht="20.25" x14ac:dyDescent="0.3">
      <c r="B50" s="321"/>
      <c r="C50" s="321"/>
      <c r="D50" s="321"/>
      <c r="E50" s="321"/>
      <c r="F50" s="321"/>
      <c r="G50" s="321"/>
      <c r="H50" s="321"/>
      <c r="I50" s="321"/>
      <c r="J50" s="321"/>
    </row>
    <row r="51" spans="2:10" ht="20.25" x14ac:dyDescent="0.3">
      <c r="B51" s="321"/>
      <c r="C51" s="321"/>
      <c r="D51" s="321"/>
      <c r="E51" s="321"/>
      <c r="F51" s="321"/>
      <c r="G51" s="321"/>
      <c r="H51" s="321"/>
      <c r="I51" s="321"/>
      <c r="J51" s="321"/>
    </row>
    <row r="52" spans="2:10" ht="20.25" x14ac:dyDescent="0.3">
      <c r="B52" s="321"/>
      <c r="C52" s="321"/>
      <c r="D52" s="321"/>
      <c r="E52" s="321"/>
      <c r="F52" s="321"/>
      <c r="G52" s="321"/>
      <c r="H52" s="321"/>
      <c r="I52" s="321"/>
      <c r="J52" s="321"/>
    </row>
    <row r="53" spans="2:10" ht="20.25" x14ac:dyDescent="0.3">
      <c r="B53" s="321"/>
      <c r="C53" s="321"/>
      <c r="D53" s="321"/>
      <c r="E53" s="321"/>
      <c r="F53" s="321"/>
      <c r="G53" s="321"/>
      <c r="H53" s="321"/>
      <c r="I53" s="321"/>
      <c r="J53" s="321"/>
    </row>
    <row r="54" spans="2:10" ht="20.25" x14ac:dyDescent="0.3">
      <c r="B54" s="321"/>
      <c r="C54" s="321"/>
      <c r="D54" s="321"/>
      <c r="E54" s="321"/>
      <c r="F54" s="321"/>
      <c r="G54" s="321"/>
      <c r="H54" s="321"/>
      <c r="I54" s="321"/>
      <c r="J54" s="321"/>
    </row>
    <row r="55" spans="2:10" ht="20.25" x14ac:dyDescent="0.3">
      <c r="B55" s="321"/>
      <c r="C55" s="321"/>
      <c r="D55" s="321"/>
      <c r="E55" s="321"/>
      <c r="F55" s="321"/>
      <c r="G55" s="321"/>
      <c r="H55" s="321"/>
      <c r="I55" s="321"/>
      <c r="J55" s="321"/>
    </row>
    <row r="56" spans="2:10" ht="20.25" x14ac:dyDescent="0.3">
      <c r="B56" s="321"/>
      <c r="C56" s="321"/>
      <c r="D56" s="321"/>
      <c r="E56" s="321"/>
      <c r="F56" s="321"/>
      <c r="G56" s="321"/>
      <c r="H56" s="321"/>
      <c r="I56" s="321"/>
      <c r="J56" s="321"/>
    </row>
    <row r="57" spans="2:10" ht="20.25" x14ac:dyDescent="0.3">
      <c r="B57" s="321"/>
      <c r="C57" s="321"/>
      <c r="D57" s="322"/>
      <c r="E57" s="322"/>
      <c r="H57" s="322"/>
      <c r="I57" s="322"/>
      <c r="J57" s="322"/>
    </row>
    <row r="58" spans="2:10" ht="20.25" x14ac:dyDescent="0.25">
      <c r="B58" s="326"/>
      <c r="C58" s="326"/>
      <c r="D58" s="326"/>
      <c r="E58" s="326"/>
      <c r="F58" s="327"/>
      <c r="G58" s="327"/>
      <c r="H58" s="327"/>
      <c r="I58" s="327"/>
      <c r="J58" s="327"/>
    </row>
    <row r="59" spans="2:10" ht="20.25" x14ac:dyDescent="0.3">
      <c r="B59" s="320"/>
      <c r="C59" s="321"/>
      <c r="D59" s="321"/>
      <c r="E59" s="321"/>
    </row>
    <row r="60" spans="2:10" ht="20.25" x14ac:dyDescent="0.3">
      <c r="B60" s="321"/>
      <c r="C60" s="321"/>
      <c r="D60" s="321"/>
      <c r="E60" s="321"/>
    </row>
    <row r="61" spans="2:10" ht="20.25" x14ac:dyDescent="0.3">
      <c r="B61" s="321"/>
      <c r="C61" s="321"/>
      <c r="D61" s="321"/>
      <c r="E61" s="321"/>
    </row>
    <row r="62" spans="2:10" ht="20.25" x14ac:dyDescent="0.3">
      <c r="B62" s="321"/>
      <c r="C62" s="321"/>
      <c r="D62" s="321"/>
      <c r="E62" s="321"/>
    </row>
  </sheetData>
  <mergeCells count="27">
    <mergeCell ref="F38:G38"/>
    <mergeCell ref="B58:E58"/>
    <mergeCell ref="F58:J58"/>
    <mergeCell ref="B38:E38"/>
    <mergeCell ref="B25:E25"/>
    <mergeCell ref="B29:E29"/>
    <mergeCell ref="F29:J30"/>
    <mergeCell ref="B31:C31"/>
    <mergeCell ref="F31:J31"/>
    <mergeCell ref="B32:C32"/>
    <mergeCell ref="F32:J32"/>
    <mergeCell ref="B34:E34"/>
    <mergeCell ref="F34:J34"/>
    <mergeCell ref="F35:J35"/>
    <mergeCell ref="F36:J36"/>
    <mergeCell ref="F37:J37"/>
    <mergeCell ref="A1:J1"/>
    <mergeCell ref="H6:I7"/>
    <mergeCell ref="J6:J7"/>
    <mergeCell ref="A5:J5"/>
    <mergeCell ref="A3:J3"/>
    <mergeCell ref="A2:J2"/>
    <mergeCell ref="A6:A8"/>
    <mergeCell ref="B6:B8"/>
    <mergeCell ref="C6:C7"/>
    <mergeCell ref="D6:E7"/>
    <mergeCell ref="F6:G7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4"/>
  <sheetViews>
    <sheetView view="pageBreakPreview" topLeftCell="A10" zoomScale="60" workbookViewId="0">
      <selection activeCell="A10" sqref="A1:XFD1048576"/>
    </sheetView>
  </sheetViews>
  <sheetFormatPr defaultColWidth="9.140625" defaultRowHeight="15" x14ac:dyDescent="0.25"/>
  <cols>
    <col min="1" max="1" width="6.85546875" style="56" customWidth="1"/>
    <col min="2" max="2" width="49.42578125" style="56" customWidth="1"/>
    <col min="3" max="3" width="12" style="56" customWidth="1"/>
    <col min="4" max="4" width="10" style="56" customWidth="1"/>
    <col min="5" max="5" width="9.7109375" style="56" customWidth="1"/>
    <col min="6" max="6" width="9.140625" style="56"/>
    <col min="7" max="7" width="11.5703125" style="56" customWidth="1"/>
    <col min="8" max="16384" width="9.140625" style="56"/>
  </cols>
  <sheetData>
    <row r="1" spans="1:12" ht="16.5" thickBot="1" x14ac:dyDescent="0.3">
      <c r="A1" s="397"/>
      <c r="B1" s="397"/>
      <c r="C1" s="397"/>
      <c r="D1" s="397"/>
      <c r="E1" s="397"/>
      <c r="F1" s="397"/>
      <c r="G1" s="397"/>
      <c r="H1" s="55"/>
      <c r="I1" s="55"/>
      <c r="J1" s="55"/>
      <c r="K1" s="55"/>
      <c r="L1" s="55"/>
    </row>
    <row r="2" spans="1:12" x14ac:dyDescent="0.25">
      <c r="A2" s="417" t="s">
        <v>3</v>
      </c>
      <c r="B2" s="419" t="s">
        <v>19</v>
      </c>
      <c r="C2" s="420"/>
      <c r="D2" s="420"/>
      <c r="E2" s="421"/>
      <c r="F2" s="62"/>
      <c r="G2" s="62"/>
      <c r="H2" s="62"/>
      <c r="I2" s="55"/>
    </row>
    <row r="3" spans="1:12" x14ac:dyDescent="0.25">
      <c r="A3" s="418"/>
      <c r="B3" s="399"/>
      <c r="C3" s="138" t="s">
        <v>20</v>
      </c>
      <c r="D3" s="138" t="s">
        <v>21</v>
      </c>
      <c r="E3" s="200" t="s">
        <v>22</v>
      </c>
      <c r="F3" s="59"/>
      <c r="G3" s="55"/>
      <c r="H3" s="55"/>
      <c r="I3" s="55"/>
    </row>
    <row r="4" spans="1:12" x14ac:dyDescent="0.25">
      <c r="A4" s="201">
        <v>1</v>
      </c>
      <c r="B4" s="57" t="s">
        <v>158</v>
      </c>
      <c r="C4" s="58"/>
      <c r="D4" s="58"/>
      <c r="E4" s="202"/>
      <c r="F4" s="59"/>
      <c r="G4" s="55"/>
      <c r="H4" s="55"/>
      <c r="I4" s="55"/>
    </row>
    <row r="5" spans="1:12" ht="30" x14ac:dyDescent="0.25">
      <c r="A5" s="203">
        <v>1</v>
      </c>
      <c r="B5" s="131" t="s">
        <v>125</v>
      </c>
      <c r="C5" s="51">
        <f>61.4*1.15</f>
        <v>70.61</v>
      </c>
      <c r="D5" s="133">
        <v>6</v>
      </c>
      <c r="E5" s="204">
        <f>C5*D5+3.9</f>
        <v>427.55999999999995</v>
      </c>
      <c r="F5" s="59"/>
      <c r="G5" s="55"/>
      <c r="H5" s="55"/>
      <c r="I5" s="55"/>
    </row>
    <row r="6" spans="1:12" x14ac:dyDescent="0.25">
      <c r="A6" s="205">
        <v>2</v>
      </c>
      <c r="B6" s="50" t="s">
        <v>184</v>
      </c>
      <c r="C6" s="51">
        <f>177.64*2*1.15*1.04</f>
        <v>424.91487999999998</v>
      </c>
      <c r="D6" s="133">
        <v>6</v>
      </c>
      <c r="E6" s="204">
        <f t="shared" ref="E6:E10" si="0">C6*D6</f>
        <v>2549.4892799999998</v>
      </c>
      <c r="F6" s="55"/>
      <c r="G6" s="55"/>
      <c r="H6" s="55"/>
      <c r="I6" s="55"/>
    </row>
    <row r="7" spans="1:12" x14ac:dyDescent="0.25">
      <c r="A7" s="205">
        <v>3</v>
      </c>
      <c r="B7" s="131" t="s">
        <v>126</v>
      </c>
      <c r="C7" s="51">
        <f>50.92*1.15</f>
        <v>58.558</v>
      </c>
      <c r="D7" s="133">
        <v>12</v>
      </c>
      <c r="E7" s="204">
        <f t="shared" si="0"/>
        <v>702.69600000000003</v>
      </c>
      <c r="F7" s="55"/>
      <c r="G7" s="55"/>
      <c r="H7" s="55"/>
      <c r="I7" s="55"/>
    </row>
    <row r="8" spans="1:12" x14ac:dyDescent="0.25">
      <c r="A8" s="205">
        <v>4</v>
      </c>
      <c r="B8" s="134" t="s">
        <v>142</v>
      </c>
      <c r="C8" s="51">
        <f>149.41*1.15*1.04</f>
        <v>178.69435999999999</v>
      </c>
      <c r="D8" s="134">
        <v>6</v>
      </c>
      <c r="E8" s="204">
        <f t="shared" si="0"/>
        <v>1072.16616</v>
      </c>
      <c r="F8" s="55"/>
      <c r="G8" s="55"/>
      <c r="H8" s="55"/>
      <c r="I8" s="55"/>
    </row>
    <row r="9" spans="1:12" x14ac:dyDescent="0.25">
      <c r="A9" s="205">
        <v>5</v>
      </c>
      <c r="B9" s="50" t="s">
        <v>96</v>
      </c>
      <c r="C9" s="51">
        <v>42</v>
      </c>
      <c r="D9" s="133">
        <v>6</v>
      </c>
      <c r="E9" s="204">
        <f t="shared" si="0"/>
        <v>252</v>
      </c>
      <c r="F9" s="55"/>
      <c r="G9" s="55"/>
      <c r="H9" s="55"/>
      <c r="I9" s="55"/>
    </row>
    <row r="10" spans="1:12" x14ac:dyDescent="0.25">
      <c r="A10" s="205">
        <v>6</v>
      </c>
      <c r="B10" s="50" t="s">
        <v>124</v>
      </c>
      <c r="C10" s="51">
        <f>400*1.15*1.04</f>
        <v>478.4</v>
      </c>
      <c r="D10" s="133">
        <v>6</v>
      </c>
      <c r="E10" s="204">
        <f t="shared" si="0"/>
        <v>2870.3999999999996</v>
      </c>
      <c r="F10" s="55"/>
      <c r="G10" s="55"/>
      <c r="H10" s="55"/>
      <c r="I10" s="55"/>
    </row>
    <row r="11" spans="1:12" x14ac:dyDescent="0.25">
      <c r="A11" s="206"/>
      <c r="B11" s="89" t="s">
        <v>128</v>
      </c>
      <c r="C11" s="161"/>
      <c r="D11" s="74"/>
      <c r="E11" s="207"/>
      <c r="F11" s="55"/>
      <c r="G11" s="55"/>
      <c r="H11" s="55"/>
      <c r="I11" s="55"/>
    </row>
    <row r="12" spans="1:12" x14ac:dyDescent="0.25">
      <c r="A12" s="206"/>
      <c r="B12" s="74" t="s">
        <v>143</v>
      </c>
      <c r="C12" s="161">
        <v>20</v>
      </c>
      <c r="D12" s="74">
        <f>D13+D14+D15+D16</f>
        <v>30</v>
      </c>
      <c r="E12" s="207">
        <f>C12*D12</f>
        <v>600</v>
      </c>
      <c r="F12" s="55"/>
      <c r="G12" s="55"/>
      <c r="H12" s="55"/>
      <c r="I12" s="55"/>
    </row>
    <row r="13" spans="1:12" x14ac:dyDescent="0.25">
      <c r="A13" s="206"/>
      <c r="B13" s="74" t="s">
        <v>127</v>
      </c>
      <c r="C13" s="161">
        <f>324.55/10</f>
        <v>32.454999999999998</v>
      </c>
      <c r="D13" s="74">
        <v>10</v>
      </c>
      <c r="E13" s="207">
        <f t="shared" ref="E13:E16" si="1">C13*D13</f>
        <v>324.54999999999995</v>
      </c>
      <c r="F13" s="55"/>
      <c r="G13" s="55"/>
      <c r="H13" s="55"/>
      <c r="I13" s="55"/>
    </row>
    <row r="14" spans="1:12" x14ac:dyDescent="0.25">
      <c r="A14" s="206"/>
      <c r="B14" s="74" t="s">
        <v>129</v>
      </c>
      <c r="C14" s="161">
        <f>128.18/10</f>
        <v>12.818000000000001</v>
      </c>
      <c r="D14" s="74">
        <v>10</v>
      </c>
      <c r="E14" s="207">
        <f t="shared" si="1"/>
        <v>128.18</v>
      </c>
      <c r="F14" s="55"/>
      <c r="G14" s="55"/>
      <c r="H14" s="55"/>
      <c r="I14" s="55"/>
    </row>
    <row r="15" spans="1:12" x14ac:dyDescent="0.25">
      <c r="A15" s="206"/>
      <c r="B15" s="74" t="s">
        <v>130</v>
      </c>
      <c r="C15" s="161">
        <f>25.44/10</f>
        <v>2.544</v>
      </c>
      <c r="D15" s="74">
        <v>5</v>
      </c>
      <c r="E15" s="207">
        <f t="shared" si="1"/>
        <v>12.72</v>
      </c>
      <c r="F15" s="55"/>
      <c r="G15" s="55"/>
      <c r="H15" s="55"/>
      <c r="I15" s="55"/>
    </row>
    <row r="16" spans="1:12" x14ac:dyDescent="0.25">
      <c r="A16" s="206"/>
      <c r="B16" s="74" t="s">
        <v>131</v>
      </c>
      <c r="C16" s="161">
        <f>27.64/10</f>
        <v>2.7640000000000002</v>
      </c>
      <c r="D16" s="74">
        <v>5</v>
      </c>
      <c r="E16" s="207">
        <f t="shared" si="1"/>
        <v>13.82</v>
      </c>
      <c r="F16" s="55"/>
      <c r="G16" s="55"/>
      <c r="H16" s="55"/>
      <c r="I16" s="55"/>
    </row>
    <row r="17" spans="1:9" x14ac:dyDescent="0.25">
      <c r="A17" s="212"/>
      <c r="B17" s="213" t="s">
        <v>145</v>
      </c>
      <c r="C17" s="214"/>
      <c r="D17" s="215"/>
      <c r="E17" s="231">
        <f>_xlfn.CEILING.PRECISE((SUM(E5:E16)*1.05)*1.01)-116</f>
        <v>9380</v>
      </c>
      <c r="F17" s="61"/>
      <c r="G17" s="62"/>
      <c r="H17" s="55"/>
      <c r="I17" s="55"/>
    </row>
    <row r="18" spans="1:9" x14ac:dyDescent="0.25">
      <c r="A18" s="272"/>
      <c r="B18" s="273"/>
      <c r="C18" s="274"/>
      <c r="D18" s="275"/>
      <c r="E18" s="276">
        <f>E17/14</f>
        <v>670</v>
      </c>
      <c r="F18" s="61"/>
      <c r="G18" s="62"/>
      <c r="H18" s="55"/>
      <c r="I18" s="55"/>
    </row>
    <row r="19" spans="1:9" ht="15.75" thickBot="1" x14ac:dyDescent="0.3">
      <c r="A19" s="216"/>
      <c r="B19" s="217" t="s">
        <v>98</v>
      </c>
      <c r="C19" s="218"/>
      <c r="D19" s="219"/>
      <c r="E19" s="232">
        <f>_xlfn.CEILING.PRECISE(SUM(E5:E16)*1.2)-105</f>
        <v>10640</v>
      </c>
      <c r="F19" s="61"/>
      <c r="G19" s="62"/>
      <c r="H19" s="55"/>
      <c r="I19" s="55"/>
    </row>
    <row r="20" spans="1:9" ht="15.75" thickBot="1" x14ac:dyDescent="0.3">
      <c r="A20" s="277"/>
      <c r="B20" s="278"/>
      <c r="C20" s="279"/>
      <c r="D20" s="280"/>
      <c r="E20" s="281">
        <f>E19/14</f>
        <v>760</v>
      </c>
      <c r="F20" s="61"/>
      <c r="G20" s="62"/>
      <c r="H20" s="55"/>
      <c r="I20" s="55"/>
    </row>
    <row r="21" spans="1:9" x14ac:dyDescent="0.25">
      <c r="A21" s="208">
        <v>2</v>
      </c>
      <c r="B21" s="209" t="s">
        <v>157</v>
      </c>
      <c r="C21" s="210"/>
      <c r="D21" s="210"/>
      <c r="E21" s="211"/>
    </row>
    <row r="22" spans="1:9" x14ac:dyDescent="0.25">
      <c r="A22" s="203">
        <v>1</v>
      </c>
      <c r="B22" s="50" t="s">
        <v>132</v>
      </c>
      <c r="C22" s="51">
        <f>88*2*1.15</f>
        <v>202.39999999999998</v>
      </c>
      <c r="D22" s="133">
        <v>6</v>
      </c>
      <c r="E22" s="204">
        <f>C22*D22</f>
        <v>1214.3999999999999</v>
      </c>
    </row>
    <row r="23" spans="1:9" x14ac:dyDescent="0.25">
      <c r="A23" s="205">
        <v>2</v>
      </c>
      <c r="B23" s="50" t="s">
        <v>101</v>
      </c>
      <c r="C23" s="51">
        <f>178.58*1.15*1.04</f>
        <v>213.58168000000001</v>
      </c>
      <c r="D23" s="133">
        <v>10</v>
      </c>
      <c r="E23" s="204">
        <f t="shared" ref="E23:E29" si="2">C23*D23</f>
        <v>2135.8168000000001</v>
      </c>
    </row>
    <row r="24" spans="1:9" x14ac:dyDescent="0.25">
      <c r="A24" s="205">
        <v>3</v>
      </c>
      <c r="B24" s="50" t="s">
        <v>135</v>
      </c>
      <c r="C24" s="51">
        <f>86.42*1.15</f>
        <v>99.382999999999996</v>
      </c>
      <c r="D24" s="133">
        <v>10</v>
      </c>
      <c r="E24" s="204">
        <f>C24*D24-12</f>
        <v>981.82999999999993</v>
      </c>
    </row>
    <row r="25" spans="1:9" x14ac:dyDescent="0.25">
      <c r="A25" s="205"/>
      <c r="B25" s="50"/>
      <c r="C25" s="51"/>
      <c r="D25" s="133"/>
      <c r="E25" s="204"/>
    </row>
    <row r="26" spans="1:9" x14ac:dyDescent="0.25">
      <c r="A26" s="205">
        <v>5</v>
      </c>
      <c r="B26" s="131" t="s">
        <v>134</v>
      </c>
      <c r="C26" s="51">
        <f>100*1.15*1.04</f>
        <v>119.6</v>
      </c>
      <c r="D26" s="133">
        <v>6</v>
      </c>
      <c r="E26" s="204">
        <f t="shared" si="2"/>
        <v>717.59999999999991</v>
      </c>
    </row>
    <row r="27" spans="1:9" x14ac:dyDescent="0.25">
      <c r="A27" s="205">
        <v>6</v>
      </c>
      <c r="B27" s="50" t="s">
        <v>54</v>
      </c>
      <c r="C27" s="51">
        <f>142.35*1.15*1.04</f>
        <v>170.25059999999999</v>
      </c>
      <c r="D27" s="133">
        <v>6</v>
      </c>
      <c r="E27" s="204">
        <f t="shared" si="2"/>
        <v>1021.5036</v>
      </c>
    </row>
    <row r="28" spans="1:9" x14ac:dyDescent="0.25">
      <c r="A28" s="205">
        <v>7</v>
      </c>
      <c r="B28" s="50" t="s">
        <v>136</v>
      </c>
      <c r="C28" s="51">
        <f>60.98*1.15*1.04</f>
        <v>72.932079999999999</v>
      </c>
      <c r="D28" s="133">
        <v>6</v>
      </c>
      <c r="E28" s="204">
        <f t="shared" si="2"/>
        <v>437.59248000000002</v>
      </c>
    </row>
    <row r="29" spans="1:9" x14ac:dyDescent="0.25">
      <c r="A29" s="205">
        <v>8</v>
      </c>
      <c r="B29" s="50" t="s">
        <v>133</v>
      </c>
      <c r="C29" s="51">
        <f>177.64*2*1.1</f>
        <v>390.80799999999999</v>
      </c>
      <c r="D29" s="133">
        <v>6</v>
      </c>
      <c r="E29" s="204">
        <f t="shared" si="2"/>
        <v>2344.848</v>
      </c>
    </row>
    <row r="30" spans="1:9" x14ac:dyDescent="0.25">
      <c r="A30" s="206"/>
      <c r="B30" s="89" t="s">
        <v>128</v>
      </c>
      <c r="C30" s="161"/>
      <c r="D30" s="74"/>
      <c r="E30" s="207"/>
    </row>
    <row r="31" spans="1:9" x14ac:dyDescent="0.25">
      <c r="A31" s="206"/>
      <c r="B31" s="74" t="s">
        <v>144</v>
      </c>
      <c r="C31" s="161">
        <f>250/50</f>
        <v>5</v>
      </c>
      <c r="D31" s="74">
        <f>2*10</f>
        <v>20</v>
      </c>
      <c r="E31" s="207">
        <f>C31*D31</f>
        <v>100</v>
      </c>
    </row>
    <row r="32" spans="1:9" x14ac:dyDescent="0.25">
      <c r="A32" s="212"/>
      <c r="B32" s="213" t="s">
        <v>145</v>
      </c>
      <c r="C32" s="214"/>
      <c r="D32" s="215"/>
      <c r="E32" s="231">
        <f>_xlfn.CEILING.PRECISE((SUM(E22:E31)*1.05*1.01))-116</f>
        <v>9380</v>
      </c>
    </row>
    <row r="33" spans="1:5" x14ac:dyDescent="0.25">
      <c r="A33" s="272"/>
      <c r="B33" s="273"/>
      <c r="C33" s="274"/>
      <c r="D33" s="275"/>
      <c r="E33" s="276">
        <f>E32/14</f>
        <v>670</v>
      </c>
    </row>
    <row r="34" spans="1:5" ht="15.75" thickBot="1" x14ac:dyDescent="0.3">
      <c r="A34" s="216"/>
      <c r="B34" s="217" t="s">
        <v>146</v>
      </c>
      <c r="C34" s="218"/>
      <c r="D34" s="219"/>
      <c r="E34" s="232">
        <f>_xlfn.CEILING.PRECISE(SUM(E22:E31)*1.2)-105</f>
        <v>10640</v>
      </c>
    </row>
    <row r="35" spans="1:5" ht="15.75" thickBot="1" x14ac:dyDescent="0.3">
      <c r="A35" s="277"/>
      <c r="B35" s="278"/>
      <c r="C35" s="279"/>
      <c r="D35" s="280"/>
      <c r="E35" s="281">
        <f>E34/14</f>
        <v>760</v>
      </c>
    </row>
    <row r="36" spans="1:5" x14ac:dyDescent="0.25">
      <c r="A36" s="208">
        <v>3</v>
      </c>
      <c r="B36" s="209" t="s">
        <v>156</v>
      </c>
      <c r="C36" s="210"/>
      <c r="D36" s="210"/>
      <c r="E36" s="211"/>
    </row>
    <row r="37" spans="1:5" x14ac:dyDescent="0.25">
      <c r="A37" s="203">
        <v>1</v>
      </c>
      <c r="B37" s="50" t="s">
        <v>137</v>
      </c>
      <c r="C37" s="51">
        <f>88*2*1.15*1.04</f>
        <v>210.49599999999998</v>
      </c>
      <c r="D37" s="133">
        <v>6</v>
      </c>
      <c r="E37" s="204">
        <f>C37*D37</f>
        <v>1262.9759999999999</v>
      </c>
    </row>
    <row r="38" spans="1:5" x14ac:dyDescent="0.25">
      <c r="A38" s="205">
        <v>2</v>
      </c>
      <c r="B38" s="50" t="s">
        <v>126</v>
      </c>
      <c r="C38" s="51">
        <f>50.92*1.15</f>
        <v>58.558</v>
      </c>
      <c r="D38" s="133">
        <v>10</v>
      </c>
      <c r="E38" s="204">
        <f t="shared" ref="E38:E44" si="3">C38*D38</f>
        <v>585.58000000000004</v>
      </c>
    </row>
    <row r="39" spans="1:5" x14ac:dyDescent="0.25">
      <c r="A39" s="205">
        <v>3</v>
      </c>
      <c r="B39" s="131" t="s">
        <v>138</v>
      </c>
      <c r="C39" s="51">
        <f>61.4*1.15</f>
        <v>70.61</v>
      </c>
      <c r="D39" s="133">
        <v>10</v>
      </c>
      <c r="E39" s="204">
        <f>C39*D39-4</f>
        <v>702.1</v>
      </c>
    </row>
    <row r="40" spans="1:5" x14ac:dyDescent="0.25">
      <c r="A40" s="205">
        <v>4</v>
      </c>
      <c r="B40" s="134" t="s">
        <v>141</v>
      </c>
      <c r="C40" s="51">
        <f>149.41*1.15*1.04</f>
        <v>178.69435999999999</v>
      </c>
      <c r="D40" s="134">
        <v>6</v>
      </c>
      <c r="E40" s="204">
        <f t="shared" si="3"/>
        <v>1072.16616</v>
      </c>
    </row>
    <row r="41" spans="1:5" x14ac:dyDescent="0.25">
      <c r="A41" s="205"/>
      <c r="B41" s="50"/>
      <c r="C41" s="51"/>
      <c r="D41" s="133"/>
      <c r="E41" s="204"/>
    </row>
    <row r="42" spans="1:5" x14ac:dyDescent="0.25">
      <c r="A42" s="203">
        <v>6</v>
      </c>
      <c r="B42" s="50" t="s">
        <v>44</v>
      </c>
      <c r="C42" s="51">
        <f>134*1.15*1.04</f>
        <v>160.26400000000001</v>
      </c>
      <c r="D42" s="133">
        <v>6</v>
      </c>
      <c r="E42" s="204">
        <f t="shared" si="3"/>
        <v>961.58400000000006</v>
      </c>
    </row>
    <row r="43" spans="1:5" x14ac:dyDescent="0.25">
      <c r="A43" s="205">
        <v>7</v>
      </c>
      <c r="B43" s="50" t="s">
        <v>101</v>
      </c>
      <c r="C43" s="51">
        <f>178.58*1.15*1.04</f>
        <v>213.58168000000001</v>
      </c>
      <c r="D43" s="133">
        <v>8</v>
      </c>
      <c r="E43" s="204">
        <f t="shared" si="3"/>
        <v>1708.65344</v>
      </c>
    </row>
    <row r="44" spans="1:5" x14ac:dyDescent="0.25">
      <c r="A44" s="205">
        <v>8</v>
      </c>
      <c r="B44" s="50" t="s">
        <v>139</v>
      </c>
      <c r="C44" s="51">
        <f>250*1.15*1.04</f>
        <v>299</v>
      </c>
      <c r="D44" s="133">
        <v>6</v>
      </c>
      <c r="E44" s="204">
        <f t="shared" si="3"/>
        <v>1794</v>
      </c>
    </row>
    <row r="45" spans="1:5" x14ac:dyDescent="0.25">
      <c r="A45" s="206"/>
      <c r="B45" s="89" t="s">
        <v>128</v>
      </c>
      <c r="C45" s="161"/>
      <c r="D45" s="74"/>
      <c r="E45" s="207"/>
    </row>
    <row r="46" spans="1:5" x14ac:dyDescent="0.25">
      <c r="A46" s="206"/>
      <c r="B46" s="74" t="s">
        <v>143</v>
      </c>
      <c r="C46" s="161">
        <v>20</v>
      </c>
      <c r="D46" s="74">
        <f>D47+D48+D49</f>
        <v>20</v>
      </c>
      <c r="E46" s="207">
        <f>C46*D46</f>
        <v>400</v>
      </c>
    </row>
    <row r="47" spans="1:5" x14ac:dyDescent="0.25">
      <c r="A47" s="206"/>
      <c r="B47" s="74" t="s">
        <v>140</v>
      </c>
      <c r="C47" s="161">
        <f>440/10</f>
        <v>44</v>
      </c>
      <c r="D47" s="74">
        <v>10</v>
      </c>
      <c r="E47" s="207">
        <f t="shared" ref="E47:E49" si="4">C47*D47</f>
        <v>440</v>
      </c>
    </row>
    <row r="48" spans="1:5" x14ac:dyDescent="0.25">
      <c r="A48" s="206"/>
      <c r="B48" s="74" t="s">
        <v>130</v>
      </c>
      <c r="C48" s="161">
        <f>25.44/10</f>
        <v>2.544</v>
      </c>
      <c r="D48" s="74">
        <v>5</v>
      </c>
      <c r="E48" s="207">
        <f t="shared" si="4"/>
        <v>12.72</v>
      </c>
    </row>
    <row r="49" spans="1:5" x14ac:dyDescent="0.25">
      <c r="A49" s="206"/>
      <c r="B49" s="74" t="s">
        <v>131</v>
      </c>
      <c r="C49" s="161">
        <f>27.64/10</f>
        <v>2.7640000000000002</v>
      </c>
      <c r="D49" s="74">
        <v>5</v>
      </c>
      <c r="E49" s="207">
        <f t="shared" si="4"/>
        <v>13.82</v>
      </c>
    </row>
    <row r="50" spans="1:5" x14ac:dyDescent="0.25">
      <c r="A50" s="212"/>
      <c r="B50" s="213" t="s">
        <v>159</v>
      </c>
      <c r="C50" s="214"/>
      <c r="D50" s="215"/>
      <c r="E50" s="231">
        <f>_xlfn.CEILING.PRECISE(SUM(E37:E49)*1.05*1.01)-116</f>
        <v>9380</v>
      </c>
    </row>
    <row r="51" spans="1:5" x14ac:dyDescent="0.25">
      <c r="A51" s="272"/>
      <c r="B51" s="273"/>
      <c r="C51" s="274"/>
      <c r="D51" s="275"/>
      <c r="E51" s="276">
        <f>E50/14</f>
        <v>670</v>
      </c>
    </row>
    <row r="52" spans="1:5" ht="15.75" thickBot="1" x14ac:dyDescent="0.3">
      <c r="A52" s="216"/>
      <c r="B52" s="217" t="s">
        <v>98</v>
      </c>
      <c r="C52" s="218"/>
      <c r="D52" s="219"/>
      <c r="E52" s="232">
        <f>_xlfn.CEILING.PRECISE(SUM(E37:E49)*1.2)-105</f>
        <v>10640</v>
      </c>
    </row>
    <row r="53" spans="1:5" ht="15.75" thickBot="1" x14ac:dyDescent="0.3">
      <c r="A53" s="216"/>
      <c r="B53" s="217"/>
      <c r="C53" s="218"/>
      <c r="D53" s="219"/>
      <c r="E53" s="232">
        <f>E52/14</f>
        <v>760</v>
      </c>
    </row>
    <row r="54" spans="1:5" x14ac:dyDescent="0.25">
      <c r="A54" s="159" t="s">
        <v>122</v>
      </c>
      <c r="B54" s="159"/>
      <c r="C54" s="159"/>
      <c r="D54" s="159" t="s">
        <v>123</v>
      </c>
    </row>
  </sheetData>
  <mergeCells count="4">
    <mergeCell ref="A1:G1"/>
    <mergeCell ref="A2:A3"/>
    <mergeCell ref="B2:B3"/>
    <mergeCell ref="C2:E2"/>
  </mergeCells>
  <pageMargins left="0.7" right="0.7" top="0.75" bottom="0.75" header="0.3" footer="0.3"/>
  <pageSetup paperSize="9" scale="80" orientation="portrait" r:id="rId1"/>
  <colBreaks count="1" manualBreakCount="1">
    <brk id="5" max="104857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view="pageBreakPreview" zoomScale="60" zoomScaleNormal="60" workbookViewId="0">
      <selection activeCell="D17" sqref="D17"/>
    </sheetView>
  </sheetViews>
  <sheetFormatPr defaultRowHeight="15" x14ac:dyDescent="0.25"/>
  <cols>
    <col min="1" max="1" width="4.5703125" customWidth="1"/>
    <col min="2" max="2" width="82" customWidth="1"/>
    <col min="3" max="3" width="40.7109375" customWidth="1"/>
    <col min="4" max="4" width="29.42578125" customWidth="1"/>
    <col min="5" max="5" width="31.85546875" customWidth="1"/>
    <col min="6" max="6" width="20.42578125" customWidth="1"/>
    <col min="7" max="7" width="20.140625" customWidth="1"/>
    <col min="8" max="8" width="12.7109375" customWidth="1"/>
    <col min="9" max="9" width="14" customWidth="1"/>
    <col min="10" max="10" width="16.85546875" customWidth="1"/>
    <col min="11" max="11" width="5.140625" customWidth="1"/>
    <col min="12" max="12" width="16.28515625" customWidth="1"/>
    <col min="13" max="13" width="9.42578125" customWidth="1"/>
    <col min="14" max="14" width="16" customWidth="1"/>
    <col min="15" max="15" width="6.42578125" customWidth="1"/>
    <col min="16" max="16" width="14.85546875" customWidth="1"/>
  </cols>
  <sheetData>
    <row r="1" spans="1:16" x14ac:dyDescent="0.25">
      <c r="A1" s="37" t="s">
        <v>17</v>
      </c>
      <c r="B1" s="12"/>
      <c r="C1" s="28" t="s">
        <v>0</v>
      </c>
      <c r="D1" s="425"/>
      <c r="E1" s="425"/>
      <c r="F1" s="28"/>
      <c r="G1" s="12"/>
      <c r="H1" s="12"/>
      <c r="I1" s="12"/>
      <c r="J1" s="12"/>
      <c r="K1" s="12"/>
      <c r="L1" s="28"/>
      <c r="M1" s="12"/>
      <c r="N1" s="12"/>
      <c r="O1" s="12"/>
      <c r="P1" s="12"/>
    </row>
    <row r="2" spans="1:16" ht="41.25" customHeight="1" x14ac:dyDescent="0.25">
      <c r="A2" s="24" t="s">
        <v>16</v>
      </c>
      <c r="B2" s="13"/>
      <c r="C2" s="13" t="s">
        <v>34</v>
      </c>
      <c r="D2" s="347"/>
      <c r="E2" s="347"/>
      <c r="F2" s="390"/>
      <c r="G2" s="390"/>
      <c r="H2" s="390"/>
      <c r="I2" s="390"/>
      <c r="J2" s="390"/>
      <c r="K2" s="390"/>
      <c r="L2" s="388"/>
      <c r="M2" s="388"/>
      <c r="N2" s="388"/>
      <c r="O2" s="13"/>
      <c r="P2" s="13"/>
    </row>
    <row r="3" spans="1:16" x14ac:dyDescent="0.25">
      <c r="A3" s="11"/>
      <c r="B3" s="1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x14ac:dyDescent="0.25">
      <c r="A4" s="11" t="s">
        <v>18</v>
      </c>
      <c r="B4" s="12"/>
      <c r="C4" s="242" t="s">
        <v>160</v>
      </c>
      <c r="D4" s="165"/>
      <c r="E4" s="12"/>
      <c r="F4" s="11"/>
      <c r="G4" s="11"/>
      <c r="H4" s="11"/>
      <c r="I4" s="11"/>
      <c r="J4" s="11"/>
      <c r="K4" s="11"/>
      <c r="L4" s="38"/>
      <c r="M4" s="11"/>
      <c r="N4" s="11"/>
      <c r="O4" s="11"/>
      <c r="P4" s="11"/>
    </row>
    <row r="5" spans="1:16" x14ac:dyDescent="0.25">
      <c r="A5" s="11"/>
      <c r="B5" s="11"/>
      <c r="C5" s="14"/>
      <c r="D5" s="11"/>
      <c r="E5" s="11"/>
      <c r="F5" s="11"/>
      <c r="G5" s="11"/>
      <c r="H5" s="11"/>
      <c r="I5" s="11"/>
      <c r="J5" s="11"/>
      <c r="K5" s="11"/>
    </row>
    <row r="6" spans="1:16" ht="15.75" x14ac:dyDescent="0.25">
      <c r="A6" s="374" t="s">
        <v>1</v>
      </c>
      <c r="B6" s="374"/>
      <c r="C6" s="374"/>
      <c r="D6" s="163"/>
      <c r="E6" s="163"/>
      <c r="F6" s="163"/>
      <c r="G6" s="163"/>
      <c r="H6" s="163"/>
      <c r="I6" s="163"/>
      <c r="J6" s="163"/>
      <c r="K6" s="163"/>
    </row>
    <row r="7" spans="1:16" ht="15.75" x14ac:dyDescent="0.25">
      <c r="A7" s="374" t="s">
        <v>33</v>
      </c>
      <c r="B7" s="374"/>
      <c r="C7" s="374"/>
      <c r="D7" s="163"/>
      <c r="E7" s="163"/>
      <c r="F7" s="163"/>
      <c r="G7" s="163"/>
      <c r="H7" s="163"/>
      <c r="I7" s="163"/>
      <c r="J7" s="163"/>
      <c r="K7" s="163"/>
    </row>
    <row r="8" spans="1:16" ht="15.75" customHeight="1" x14ac:dyDescent="0.25">
      <c r="A8" s="375" t="s">
        <v>147</v>
      </c>
      <c r="B8" s="375"/>
      <c r="C8" s="375"/>
      <c r="D8" s="164"/>
      <c r="E8" s="164"/>
      <c r="F8" s="164"/>
      <c r="G8" s="164"/>
      <c r="H8" s="164"/>
      <c r="I8" s="164"/>
      <c r="J8" s="164"/>
      <c r="K8" s="164"/>
    </row>
    <row r="9" spans="1:16" ht="15" customHeight="1" x14ac:dyDescent="0.25">
      <c r="A9" s="405" t="s">
        <v>149</v>
      </c>
      <c r="B9" s="405"/>
      <c r="C9" s="405"/>
      <c r="D9" s="220"/>
      <c r="E9" s="220"/>
      <c r="F9" s="11"/>
      <c r="G9" s="11"/>
      <c r="H9" s="11"/>
      <c r="I9" s="11"/>
      <c r="J9" s="11"/>
      <c r="K9" s="11"/>
    </row>
    <row r="10" spans="1:16" ht="18.75" customHeight="1" x14ac:dyDescent="0.25">
      <c r="A10" s="405" t="s">
        <v>2</v>
      </c>
      <c r="B10" s="405"/>
      <c r="C10" s="405"/>
      <c r="D10" s="220"/>
      <c r="E10" s="220"/>
      <c r="F10" s="11"/>
      <c r="G10" s="11"/>
      <c r="H10" s="11"/>
      <c r="I10" s="11"/>
      <c r="J10" s="11"/>
      <c r="K10" s="11"/>
    </row>
    <row r="11" spans="1:16" ht="19.5" customHeight="1" x14ac:dyDescent="0.25">
      <c r="A11" s="389" t="s">
        <v>171</v>
      </c>
      <c r="B11" s="389"/>
      <c r="C11" s="389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</row>
    <row r="12" spans="1:16" ht="30.75" customHeight="1" x14ac:dyDescent="0.25">
      <c r="A12" s="324" t="s">
        <v>3</v>
      </c>
      <c r="B12" s="325" t="s">
        <v>29</v>
      </c>
      <c r="C12" s="259" t="s">
        <v>163</v>
      </c>
    </row>
    <row r="13" spans="1:16" ht="30.75" customHeight="1" x14ac:dyDescent="0.25">
      <c r="A13" s="324"/>
      <c r="B13" s="325"/>
      <c r="C13" s="260" t="s">
        <v>164</v>
      </c>
    </row>
    <row r="14" spans="1:16" ht="24.75" customHeight="1" x14ac:dyDescent="0.25">
      <c r="A14" s="324"/>
      <c r="B14" s="325"/>
      <c r="C14" s="260" t="s">
        <v>165</v>
      </c>
      <c r="E14" s="100"/>
      <c r="F14" s="100"/>
      <c r="G14" s="100"/>
      <c r="H14" s="100"/>
    </row>
    <row r="15" spans="1:16" ht="17.25" customHeight="1" x14ac:dyDescent="0.25">
      <c r="A15" s="324"/>
      <c r="B15" s="325"/>
      <c r="C15" s="229" t="s">
        <v>148</v>
      </c>
      <c r="E15" s="114" t="s">
        <v>154</v>
      </c>
      <c r="F15" s="251"/>
      <c r="G15" s="251"/>
      <c r="H15" s="251"/>
    </row>
    <row r="16" spans="1:16" ht="29.25" customHeight="1" x14ac:dyDescent="0.25">
      <c r="A16" s="25">
        <v>1</v>
      </c>
      <c r="B16" s="423" t="s">
        <v>4</v>
      </c>
      <c r="C16" s="424"/>
      <c r="E16" s="197" t="s">
        <v>153</v>
      </c>
      <c r="F16" s="197" t="s">
        <v>183</v>
      </c>
    </row>
    <row r="17" spans="1:15" ht="20.25" customHeight="1" x14ac:dyDescent="0.25">
      <c r="A17" s="36"/>
      <c r="B17" s="192" t="s">
        <v>5</v>
      </c>
      <c r="C17" s="162">
        <f>J48+'оздоровительные программы 2018'!E17</f>
        <v>23940</v>
      </c>
      <c r="D17" s="29"/>
      <c r="E17" s="141">
        <v>26040</v>
      </c>
      <c r="F17" s="31">
        <f>C17-E17</f>
        <v>-2100</v>
      </c>
      <c r="G17" s="29"/>
      <c r="H17" s="49">
        <v>24000.258030332701</v>
      </c>
      <c r="I17" s="49">
        <v>24000.267942332699</v>
      </c>
      <c r="J17" s="49">
        <v>24000.277098332699</v>
      </c>
      <c r="K17" s="29"/>
      <c r="L17" s="49">
        <f t="shared" ref="L17:L34" si="0">C17-H17</f>
        <v>-60.25803033270131</v>
      </c>
      <c r="M17" s="49" t="e">
        <f>#REF!-I17</f>
        <v>#REF!</v>
      </c>
      <c r="N17" s="49" t="e">
        <f>#REF!-J17</f>
        <v>#REF!</v>
      </c>
      <c r="O17" s="29"/>
    </row>
    <row r="18" spans="1:15" x14ac:dyDescent="0.25">
      <c r="A18" s="36"/>
      <c r="B18" s="192" t="s">
        <v>6</v>
      </c>
      <c r="C18" s="162">
        <f>J49+'оздоровительные программы 2018'!E17</f>
        <v>21840</v>
      </c>
      <c r="D18" s="29"/>
      <c r="E18" s="141">
        <v>23940</v>
      </c>
      <c r="F18" s="31">
        <f>C18-E18</f>
        <v>-2100</v>
      </c>
      <c r="G18" s="29"/>
      <c r="H18" s="49">
        <v>21937.681387449138</v>
      </c>
      <c r="I18" s="49">
        <v>21937.691299449139</v>
      </c>
      <c r="J18" s="49">
        <v>21937.70045544914</v>
      </c>
      <c r="K18" s="29"/>
      <c r="L18" s="49">
        <f t="shared" si="0"/>
        <v>-97.681387449138128</v>
      </c>
      <c r="M18" s="49" t="e">
        <f>#REF!-I18</f>
        <v>#REF!</v>
      </c>
      <c r="N18" s="49" t="e">
        <f>#REF!-J18</f>
        <v>#REF!</v>
      </c>
      <c r="O18" s="29"/>
    </row>
    <row r="19" spans="1:15" hidden="1" x14ac:dyDescent="0.25">
      <c r="A19" s="36"/>
      <c r="B19" s="192" t="s">
        <v>7</v>
      </c>
      <c r="C19" s="162">
        <f>J50+'оздоровительные программы 2018'!E17</f>
        <v>20300</v>
      </c>
      <c r="D19" s="29"/>
      <c r="E19" s="141">
        <v>22400</v>
      </c>
      <c r="F19" s="31">
        <f>C19-E19</f>
        <v>-2100</v>
      </c>
      <c r="G19" s="29"/>
      <c r="H19" s="49">
        <v>20523.486595956128</v>
      </c>
      <c r="I19" s="49">
        <v>20523.49650795613</v>
      </c>
      <c r="J19" s="49">
        <v>20523.50566395613</v>
      </c>
      <c r="L19" s="49">
        <f t="shared" si="0"/>
        <v>-223.48659595612844</v>
      </c>
      <c r="M19" s="49" t="e">
        <f>#REF!-I19</f>
        <v>#REF!</v>
      </c>
      <c r="N19" s="49" t="e">
        <f>#REF!-J19</f>
        <v>#REF!</v>
      </c>
      <c r="O19" s="29"/>
    </row>
    <row r="20" spans="1:15" ht="15" customHeight="1" x14ac:dyDescent="0.25">
      <c r="A20" s="27"/>
      <c r="B20" s="193" t="s">
        <v>8</v>
      </c>
      <c r="C20" s="162">
        <f>J51+'оздоровительные программы 2018'!E17</f>
        <v>51660</v>
      </c>
      <c r="D20" s="29"/>
      <c r="E20" s="141">
        <v>37100</v>
      </c>
      <c r="F20" s="31">
        <f>C20-E20</f>
        <v>14560</v>
      </c>
      <c r="H20" s="49">
        <v>33738.423582125884</v>
      </c>
      <c r="I20" s="49">
        <v>33738.433494125886</v>
      </c>
      <c r="J20" s="49">
        <v>33738.442650125886</v>
      </c>
      <c r="L20" s="49">
        <f t="shared" si="0"/>
        <v>17921.576417874116</v>
      </c>
      <c r="M20" s="49" t="e">
        <f>#REF!-I20</f>
        <v>#REF!</v>
      </c>
      <c r="N20" s="49" t="e">
        <f>#REF!-J20</f>
        <v>#REF!</v>
      </c>
    </row>
    <row r="21" spans="1:15" x14ac:dyDescent="0.25">
      <c r="A21" s="25">
        <v>2</v>
      </c>
      <c r="B21" s="423" t="s">
        <v>9</v>
      </c>
      <c r="C21" s="424"/>
      <c r="D21" s="29"/>
      <c r="E21" s="141"/>
      <c r="F21" s="31"/>
      <c r="H21" s="49"/>
      <c r="I21" s="49"/>
      <c r="J21" s="49"/>
      <c r="L21" s="49">
        <f t="shared" si="0"/>
        <v>0</v>
      </c>
      <c r="M21" s="49" t="e">
        <f>#REF!-I21</f>
        <v>#REF!</v>
      </c>
      <c r="N21" s="49" t="e">
        <f>#REF!-J21</f>
        <v>#REF!</v>
      </c>
    </row>
    <row r="22" spans="1:15" x14ac:dyDescent="0.25">
      <c r="A22" s="36"/>
      <c r="B22" s="192" t="s">
        <v>5</v>
      </c>
      <c r="C22" s="162">
        <f>J53+'оздоровительные программы 2018'!E17</f>
        <v>26320</v>
      </c>
      <c r="D22" s="29"/>
      <c r="E22" s="141">
        <v>28420</v>
      </c>
      <c r="F22" s="31">
        <f>C22-E22</f>
        <v>-2100</v>
      </c>
      <c r="H22" s="49">
        <v>26295.402720480277</v>
      </c>
      <c r="I22" s="49">
        <v>26295.412632480278</v>
      </c>
      <c r="J22" s="49">
        <v>26295.421788480278</v>
      </c>
      <c r="L22" s="49">
        <f t="shared" si="0"/>
        <v>24.597279519723088</v>
      </c>
      <c r="M22" s="49" t="e">
        <f>#REF!-I22</f>
        <v>#REF!</v>
      </c>
      <c r="N22" s="49" t="e">
        <f>#REF!-J22</f>
        <v>#REF!</v>
      </c>
    </row>
    <row r="23" spans="1:15" x14ac:dyDescent="0.25">
      <c r="A23" s="36"/>
      <c r="B23" s="192" t="s">
        <v>6</v>
      </c>
      <c r="C23" s="162">
        <f>J54+'оздоровительные программы 2018'!E17</f>
        <v>24220</v>
      </c>
      <c r="D23" s="29"/>
      <c r="E23" s="141">
        <v>26320</v>
      </c>
      <c r="F23" s="31">
        <f>C23-E23</f>
        <v>-2100</v>
      </c>
      <c r="H23" s="49">
        <v>24223.118147549008</v>
      </c>
      <c r="I23" s="49">
        <v>24223.12805954901</v>
      </c>
      <c r="J23" s="49">
        <v>24223.13721554901</v>
      </c>
      <c r="L23" s="49">
        <f t="shared" si="0"/>
        <v>-3.1181475490084267</v>
      </c>
      <c r="M23" s="49" t="e">
        <f>#REF!-I23</f>
        <v>#REF!</v>
      </c>
      <c r="N23" s="49" t="e">
        <f>#REF!-J23</f>
        <v>#REF!</v>
      </c>
    </row>
    <row r="24" spans="1:15" hidden="1" x14ac:dyDescent="0.25">
      <c r="A24" s="36"/>
      <c r="B24" s="192" t="s">
        <v>7</v>
      </c>
      <c r="C24" s="162">
        <f>J55+'оздоровительные программы 2018'!E17</f>
        <v>22680</v>
      </c>
      <c r="D24" s="29"/>
      <c r="E24" s="141">
        <v>24780</v>
      </c>
      <c r="F24" s="31">
        <f>C24-E24</f>
        <v>-2100</v>
      </c>
      <c r="H24" s="49">
        <v>22800.687391261425</v>
      </c>
      <c r="I24" s="49">
        <v>22800.697303261426</v>
      </c>
      <c r="J24" s="49">
        <v>22800.706459261426</v>
      </c>
      <c r="L24" s="49">
        <f t="shared" si="0"/>
        <v>-120.68739126142464</v>
      </c>
      <c r="M24" s="49" t="e">
        <f>#REF!-I24</f>
        <v>#REF!</v>
      </c>
      <c r="N24" s="49" t="e">
        <f>#REF!-J24</f>
        <v>#REF!</v>
      </c>
    </row>
    <row r="25" spans="1:15" ht="15" customHeight="1" x14ac:dyDescent="0.25">
      <c r="A25" s="27"/>
      <c r="B25" s="193" t="s">
        <v>8</v>
      </c>
      <c r="C25" s="162">
        <f>J56+'оздоровительные программы 2018'!E17</f>
        <v>54040</v>
      </c>
      <c r="D25" s="29"/>
      <c r="E25" s="141">
        <v>38780</v>
      </c>
      <c r="F25" s="31">
        <f>C25-E25</f>
        <v>15260</v>
      </c>
      <c r="H25" s="49">
        <v>36059.243006344841</v>
      </c>
      <c r="I25" s="49">
        <v>36059.252918344842</v>
      </c>
      <c r="J25" s="49">
        <v>36059.262074344842</v>
      </c>
      <c r="L25" s="49">
        <f t="shared" si="0"/>
        <v>17980.756993655159</v>
      </c>
      <c r="M25" s="49" t="e">
        <f>#REF!-I25</f>
        <v>#REF!</v>
      </c>
      <c r="N25" s="49" t="e">
        <f>#REF!-J25</f>
        <v>#REF!</v>
      </c>
    </row>
    <row r="26" spans="1:15" x14ac:dyDescent="0.25">
      <c r="A26" s="25">
        <v>3</v>
      </c>
      <c r="B26" s="423" t="s">
        <v>10</v>
      </c>
      <c r="C26" s="424"/>
      <c r="D26" s="29"/>
      <c r="E26" s="141"/>
      <c r="F26" s="31"/>
      <c r="H26" s="49"/>
      <c r="I26" s="49"/>
      <c r="J26" s="49"/>
      <c r="L26" s="49">
        <f t="shared" si="0"/>
        <v>0</v>
      </c>
      <c r="M26" s="49" t="e">
        <f>#REF!-I26</f>
        <v>#REF!</v>
      </c>
      <c r="N26" s="49" t="e">
        <f>#REF!-J26</f>
        <v>#REF!</v>
      </c>
    </row>
    <row r="27" spans="1:15" x14ac:dyDescent="0.25">
      <c r="A27" s="36"/>
      <c r="B27" s="192" t="s">
        <v>5</v>
      </c>
      <c r="C27" s="162">
        <f>J58+'оздоровительные программы 2018'!E17</f>
        <v>28140</v>
      </c>
      <c r="D27" s="29"/>
      <c r="E27" s="141">
        <v>30240</v>
      </c>
      <c r="F27" s="31">
        <f>C27-E27</f>
        <v>-2100</v>
      </c>
      <c r="H27" s="49">
        <v>27903.945095136514</v>
      </c>
      <c r="I27" s="49">
        <v>27903.955007136516</v>
      </c>
      <c r="J27" s="49">
        <v>27903.964163136516</v>
      </c>
      <c r="L27" s="49">
        <f t="shared" si="0"/>
        <v>236.05490486348572</v>
      </c>
      <c r="M27" s="49" t="e">
        <f>#REF!-I27</f>
        <v>#REF!</v>
      </c>
      <c r="N27" s="49" t="e">
        <f>#REF!-J27</f>
        <v>#REF!</v>
      </c>
    </row>
    <row r="28" spans="1:15" x14ac:dyDescent="0.25">
      <c r="A28" s="36"/>
      <c r="B28" s="192" t="s">
        <v>6</v>
      </c>
      <c r="C28" s="162">
        <f>J59+'оздоровительные программы 2018'!E17</f>
        <v>26040</v>
      </c>
      <c r="D28" s="29"/>
      <c r="E28" s="141">
        <v>28140</v>
      </c>
      <c r="F28" s="31">
        <f>C28-E28</f>
        <v>-2100</v>
      </c>
      <c r="H28" s="49">
        <v>25826.217175552672</v>
      </c>
      <c r="I28" s="49">
        <v>25826.227087552674</v>
      </c>
      <c r="J28" s="49">
        <v>25826.236243552674</v>
      </c>
      <c r="L28" s="49">
        <f t="shared" si="0"/>
        <v>213.78282444732758</v>
      </c>
      <c r="M28" s="49" t="e">
        <f>#REF!-I28</f>
        <v>#REF!</v>
      </c>
      <c r="N28" s="49" t="e">
        <f>#REF!-J28</f>
        <v>#REF!</v>
      </c>
    </row>
    <row r="29" spans="1:15" hidden="1" x14ac:dyDescent="0.25">
      <c r="A29" s="36"/>
      <c r="B29" s="192" t="s">
        <v>7</v>
      </c>
      <c r="C29" s="162">
        <f>J60+'оздоровительные программы 2018'!E17</f>
        <v>24500</v>
      </c>
      <c r="D29" s="29"/>
      <c r="E29" s="141">
        <v>26600</v>
      </c>
      <c r="F29" s="31">
        <f>C29-E29</f>
        <v>-2100</v>
      </c>
      <c r="H29" s="49">
        <v>24399.238415511783</v>
      </c>
      <c r="I29" s="49">
        <v>24399.248327511785</v>
      </c>
      <c r="J29" s="49">
        <v>24399.257483511785</v>
      </c>
      <c r="L29" s="49">
        <f t="shared" si="0"/>
        <v>100.76158448821661</v>
      </c>
      <c r="M29" s="49" t="e">
        <f>#REF!-I29</f>
        <v>#REF!</v>
      </c>
      <c r="N29" s="49" t="e">
        <f>#REF!-J29</f>
        <v>#REF!</v>
      </c>
    </row>
    <row r="30" spans="1:15" ht="15" customHeight="1" x14ac:dyDescent="0.25">
      <c r="A30" s="27"/>
      <c r="B30" s="193" t="s">
        <v>8</v>
      </c>
      <c r="C30" s="162">
        <f>J61+'оздоровительные программы 2018'!E17</f>
        <v>55860</v>
      </c>
      <c r="D30" s="29"/>
      <c r="E30" s="141">
        <v>40600</v>
      </c>
      <c r="F30" s="31">
        <f>C30-E30</f>
        <v>15260</v>
      </c>
      <c r="H30" s="49">
        <v>37682.690608411009</v>
      </c>
      <c r="I30" s="49">
        <v>37682.70052041101</v>
      </c>
      <c r="J30" s="49">
        <v>37682.70967641101</v>
      </c>
      <c r="L30" s="49">
        <f t="shared" si="0"/>
        <v>18177.309391588991</v>
      </c>
      <c r="M30" s="49" t="e">
        <f>#REF!-I30</f>
        <v>#REF!</v>
      </c>
      <c r="N30" s="49" t="e">
        <f>#REF!-J30</f>
        <v>#REF!</v>
      </c>
    </row>
    <row r="31" spans="1:15" ht="16.899999999999999" customHeight="1" x14ac:dyDescent="0.25">
      <c r="A31" s="110">
        <v>4</v>
      </c>
      <c r="B31" s="423" t="s">
        <v>83</v>
      </c>
      <c r="C31" s="424"/>
      <c r="D31" s="29"/>
      <c r="E31" s="141"/>
      <c r="F31" s="31"/>
      <c r="H31" s="49"/>
      <c r="I31" s="49"/>
      <c r="J31" s="49"/>
      <c r="L31" s="49">
        <f t="shared" si="0"/>
        <v>0</v>
      </c>
      <c r="M31" s="49" t="e">
        <f>#REF!-I31</f>
        <v>#REF!</v>
      </c>
      <c r="N31" s="49" t="e">
        <f>#REF!-J31</f>
        <v>#REF!</v>
      </c>
    </row>
    <row r="32" spans="1:15" x14ac:dyDescent="0.25">
      <c r="A32" s="27"/>
      <c r="B32" s="193" t="s">
        <v>84</v>
      </c>
      <c r="C32" s="171">
        <f>J63+'оздоровительные программы 2018'!E17</f>
        <v>16520</v>
      </c>
      <c r="D32" s="29"/>
      <c r="E32" s="141">
        <v>18620</v>
      </c>
      <c r="F32" s="31">
        <f>C32-E32</f>
        <v>-2100</v>
      </c>
      <c r="H32" s="49">
        <v>17108.213469446076</v>
      </c>
      <c r="I32" s="49">
        <v>17108.223381446078</v>
      </c>
      <c r="J32" s="49">
        <v>17108.232537446078</v>
      </c>
      <c r="L32" s="49">
        <f t="shared" si="0"/>
        <v>-588.21346944607649</v>
      </c>
      <c r="M32" s="49" t="e">
        <f>#REF!-I32</f>
        <v>#REF!</v>
      </c>
      <c r="N32" s="49" t="e">
        <f>#REF!-J32</f>
        <v>#REF!</v>
      </c>
    </row>
    <row r="33" spans="1:18" x14ac:dyDescent="0.25">
      <c r="A33" s="108"/>
      <c r="B33" s="193" t="s">
        <v>85</v>
      </c>
      <c r="C33" s="171">
        <f>J64+'оздоровительные программы 2018'!E17</f>
        <v>18900</v>
      </c>
      <c r="D33" s="29"/>
      <c r="E33" s="141">
        <v>21000</v>
      </c>
      <c r="F33" s="31">
        <f>C33-E33</f>
        <v>-2100</v>
      </c>
      <c r="H33" s="49">
        <v>19357.433324122776</v>
      </c>
      <c r="I33" s="49">
        <v>19357.443236122777</v>
      </c>
      <c r="J33" s="49">
        <v>19357.452392122777</v>
      </c>
      <c r="L33" s="49">
        <f t="shared" si="0"/>
        <v>-457.43332412277596</v>
      </c>
      <c r="M33" s="49" t="e">
        <f>#REF!-I33</f>
        <v>#REF!</v>
      </c>
      <c r="N33" s="49" t="e">
        <f>#REF!-J33</f>
        <v>#REF!</v>
      </c>
    </row>
    <row r="34" spans="1:18" x14ac:dyDescent="0.25">
      <c r="A34" s="108"/>
      <c r="B34" s="193" t="s">
        <v>86</v>
      </c>
      <c r="C34" s="171">
        <f>J65+'оздоровительные программы 2018'!E17</f>
        <v>13720</v>
      </c>
      <c r="D34" s="29"/>
      <c r="E34" s="198">
        <v>15820</v>
      </c>
      <c r="F34" s="31">
        <f>C34-E34</f>
        <v>-2100</v>
      </c>
      <c r="H34" s="49">
        <v>11833.566377449257</v>
      </c>
      <c r="I34" s="49">
        <v>11833.576289449258</v>
      </c>
      <c r="J34" s="49">
        <v>11833.585445449258</v>
      </c>
      <c r="L34" s="49">
        <f t="shared" si="0"/>
        <v>1886.4336225507432</v>
      </c>
      <c r="M34" s="49" t="e">
        <f>#REF!-I34</f>
        <v>#REF!</v>
      </c>
      <c r="N34" s="49" t="e">
        <f>#REF!-J34</f>
        <v>#REF!</v>
      </c>
    </row>
    <row r="35" spans="1:18" x14ac:dyDescent="0.25">
      <c r="A35" s="237"/>
      <c r="B35" s="253"/>
      <c r="C35" s="254"/>
      <c r="D35" s="255"/>
      <c r="E35" s="255"/>
      <c r="G35" s="256"/>
      <c r="H35" s="257"/>
      <c r="I35" s="257"/>
      <c r="J35" s="257"/>
      <c r="L35" s="49"/>
      <c r="M35" s="49"/>
      <c r="N35" s="49"/>
      <c r="P35" s="49"/>
      <c r="Q35" s="49"/>
      <c r="R35" s="49"/>
    </row>
    <row r="36" spans="1:18" x14ac:dyDescent="0.25">
      <c r="A36" s="158"/>
      <c r="B36" s="158"/>
      <c r="C36" s="158"/>
      <c r="D36" s="158"/>
      <c r="E36" s="158"/>
      <c r="F36" s="21"/>
      <c r="G36" s="158"/>
      <c r="H36" s="160"/>
      <c r="I36" s="11"/>
      <c r="J36" s="11"/>
      <c r="K36" s="11"/>
      <c r="L36" s="11"/>
      <c r="M36" s="11"/>
    </row>
    <row r="37" spans="1:18" x14ac:dyDescent="0.25">
      <c r="A37" s="11"/>
      <c r="B37" s="152" t="s">
        <v>113</v>
      </c>
      <c r="C37" s="160" t="s">
        <v>114</v>
      </c>
      <c r="E37" s="160"/>
      <c r="F37" s="158"/>
      <c r="G37" s="160"/>
      <c r="H37" s="14"/>
      <c r="I37" s="11"/>
      <c r="J37" s="11"/>
      <c r="K37" s="11"/>
      <c r="L37" s="11"/>
      <c r="M37" s="11"/>
    </row>
    <row r="38" spans="1:18" x14ac:dyDescent="0.25">
      <c r="A38" s="11"/>
      <c r="B38" s="409"/>
      <c r="C38" s="409"/>
      <c r="D38" s="153"/>
      <c r="E38" s="154"/>
      <c r="F38" s="160"/>
      <c r="G38" s="14"/>
      <c r="H38" s="160"/>
      <c r="I38" s="11"/>
      <c r="J38" s="11"/>
      <c r="K38" s="11"/>
      <c r="L38" s="11"/>
      <c r="M38" s="11"/>
    </row>
    <row r="39" spans="1:18" x14ac:dyDescent="0.25">
      <c r="A39" s="11"/>
      <c r="B39" s="258" t="s">
        <v>11</v>
      </c>
      <c r="C39" s="243" t="s">
        <v>12</v>
      </c>
      <c r="D39" s="160"/>
      <c r="E39" s="160"/>
      <c r="F39" s="14"/>
      <c r="G39" s="160"/>
      <c r="H39" s="14"/>
      <c r="I39" s="11"/>
      <c r="J39" s="11"/>
      <c r="K39" s="11"/>
      <c r="L39" s="11"/>
      <c r="M39" s="11"/>
    </row>
    <row r="40" spans="1:18" x14ac:dyDescent="0.25">
      <c r="A40" s="11"/>
      <c r="B40" s="409"/>
      <c r="C40" s="409"/>
      <c r="D40" s="153"/>
      <c r="E40" s="154"/>
      <c r="F40" s="160"/>
      <c r="G40" s="14"/>
      <c r="H40" s="14"/>
      <c r="I40" s="11"/>
      <c r="J40" s="11"/>
      <c r="K40" s="11"/>
      <c r="L40" s="11"/>
      <c r="M40" s="11"/>
    </row>
    <row r="41" spans="1:18" x14ac:dyDescent="0.25">
      <c r="A41" s="11"/>
      <c r="B41" s="409" t="s">
        <v>13</v>
      </c>
      <c r="C41" s="409"/>
      <c r="D41" s="153"/>
      <c r="E41" s="154"/>
      <c r="F41" s="14"/>
      <c r="G41" s="14"/>
      <c r="H41" s="14"/>
      <c r="I41" s="11"/>
      <c r="J41" s="11"/>
      <c r="K41" s="11"/>
      <c r="L41" s="11"/>
      <c r="M41" s="11"/>
    </row>
    <row r="42" spans="1:18" x14ac:dyDescent="0.25">
      <c r="A42" s="11"/>
      <c r="B42" s="409"/>
      <c r="C42" s="409"/>
      <c r="D42" s="153"/>
      <c r="E42" s="154"/>
      <c r="F42" s="14"/>
      <c r="G42" s="14"/>
      <c r="H42" s="160"/>
      <c r="I42" s="11"/>
      <c r="J42" s="11"/>
      <c r="K42" s="11"/>
      <c r="L42" s="11"/>
      <c r="M42" s="11"/>
    </row>
    <row r="43" spans="1:18" x14ac:dyDescent="0.25">
      <c r="A43" s="11"/>
      <c r="B43" s="258" t="s">
        <v>115</v>
      </c>
      <c r="C43" s="243" t="s">
        <v>28</v>
      </c>
      <c r="D43" s="160"/>
      <c r="E43" s="160"/>
      <c r="F43" s="14"/>
      <c r="G43" s="160"/>
      <c r="K43" s="11"/>
    </row>
    <row r="44" spans="1:18" x14ac:dyDescent="0.25">
      <c r="F44" s="160"/>
      <c r="G44" s="178"/>
      <c r="H44" s="178"/>
    </row>
    <row r="45" spans="1:18" ht="247.5" customHeight="1" x14ac:dyDescent="0.25">
      <c r="A45" s="422"/>
      <c r="B45" s="422"/>
      <c r="C45" s="422"/>
      <c r="D45" s="178"/>
      <c r="E45" s="178"/>
      <c r="F45" s="178"/>
    </row>
    <row r="46" spans="1:18" ht="51" customHeight="1" x14ac:dyDescent="0.25">
      <c r="B46" t="s">
        <v>150</v>
      </c>
    </row>
    <row r="47" spans="1:18" x14ac:dyDescent="0.25">
      <c r="B47">
        <v>1</v>
      </c>
      <c r="C47" t="s">
        <v>4</v>
      </c>
    </row>
    <row r="48" spans="1:18" x14ac:dyDescent="0.25">
      <c r="C48" t="s">
        <v>5</v>
      </c>
      <c r="E48" s="169">
        <v>26040</v>
      </c>
      <c r="G48" s="139">
        <v>0.44086021505376344</v>
      </c>
      <c r="H48" s="29"/>
      <c r="I48" s="49">
        <f t="shared" ref="I48:I65" si="1">E48*G48</f>
        <v>11480</v>
      </c>
      <c r="J48" s="49">
        <f>E48-I48</f>
        <v>14560</v>
      </c>
    </row>
    <row r="49" spans="2:10" x14ac:dyDescent="0.25">
      <c r="C49" t="s">
        <v>6</v>
      </c>
      <c r="E49" s="169">
        <v>23940</v>
      </c>
      <c r="G49" s="139">
        <v>0.47953216374269003</v>
      </c>
      <c r="H49" s="29"/>
      <c r="I49" s="49">
        <f t="shared" si="1"/>
        <v>11480</v>
      </c>
      <c r="J49" s="49">
        <f t="shared" ref="J49:J65" si="2">E49-I49</f>
        <v>12460</v>
      </c>
    </row>
    <row r="50" spans="2:10" x14ac:dyDescent="0.25">
      <c r="C50" t="s">
        <v>7</v>
      </c>
      <c r="E50" s="169">
        <v>22400</v>
      </c>
      <c r="G50" s="139">
        <v>0.51249999999999996</v>
      </c>
      <c r="H50" s="29"/>
      <c r="I50" s="49">
        <f t="shared" si="1"/>
        <v>11479.999999999998</v>
      </c>
      <c r="J50" s="49">
        <f t="shared" si="2"/>
        <v>10920.000000000002</v>
      </c>
    </row>
    <row r="51" spans="2:10" x14ac:dyDescent="0.25">
      <c r="C51" t="s">
        <v>8</v>
      </c>
      <c r="E51" s="169">
        <v>53760</v>
      </c>
      <c r="G51" s="139">
        <v>0.21354166666666666</v>
      </c>
      <c r="H51" s="29"/>
      <c r="I51" s="49">
        <f t="shared" si="1"/>
        <v>11480</v>
      </c>
      <c r="J51" s="49">
        <f t="shared" si="2"/>
        <v>42280</v>
      </c>
    </row>
    <row r="52" spans="2:10" x14ac:dyDescent="0.25">
      <c r="B52">
        <v>2</v>
      </c>
      <c r="C52" t="s">
        <v>9</v>
      </c>
      <c r="E52" s="169"/>
      <c r="G52" s="139"/>
      <c r="H52" s="29"/>
      <c r="I52" s="49">
        <f t="shared" si="1"/>
        <v>0</v>
      </c>
      <c r="J52" s="49">
        <f t="shared" si="2"/>
        <v>0</v>
      </c>
    </row>
    <row r="53" spans="2:10" x14ac:dyDescent="0.25">
      <c r="C53" t="s">
        <v>5</v>
      </c>
      <c r="E53" s="169">
        <v>28420</v>
      </c>
      <c r="G53" s="139">
        <v>0.4039408866995074</v>
      </c>
      <c r="H53" s="29"/>
      <c r="I53" s="49">
        <f t="shared" si="1"/>
        <v>11480</v>
      </c>
      <c r="J53" s="49">
        <f t="shared" si="2"/>
        <v>16940</v>
      </c>
    </row>
    <row r="54" spans="2:10" x14ac:dyDescent="0.25">
      <c r="C54" t="s">
        <v>6</v>
      </c>
      <c r="E54" s="169">
        <v>26320</v>
      </c>
      <c r="G54" s="139">
        <v>0.43617021276595747</v>
      </c>
      <c r="H54" s="29"/>
      <c r="I54" s="49">
        <f t="shared" si="1"/>
        <v>11480</v>
      </c>
      <c r="J54" s="49">
        <f t="shared" si="2"/>
        <v>14840</v>
      </c>
    </row>
    <row r="55" spans="2:10" x14ac:dyDescent="0.25">
      <c r="C55" t="s">
        <v>7</v>
      </c>
      <c r="E55" s="169">
        <v>24780</v>
      </c>
      <c r="G55" s="139">
        <v>0.4632768361581921</v>
      </c>
      <c r="H55" s="29"/>
      <c r="I55" s="49">
        <f t="shared" si="1"/>
        <v>11480</v>
      </c>
      <c r="J55" s="49">
        <f t="shared" si="2"/>
        <v>13300</v>
      </c>
    </row>
    <row r="56" spans="2:10" x14ac:dyDescent="0.25">
      <c r="C56" t="s">
        <v>8</v>
      </c>
      <c r="E56" s="169">
        <v>56140</v>
      </c>
      <c r="G56" s="139">
        <v>0.20448877805486285</v>
      </c>
      <c r="H56" s="29"/>
      <c r="I56" s="49">
        <f t="shared" si="1"/>
        <v>11480</v>
      </c>
      <c r="J56" s="49">
        <f t="shared" si="2"/>
        <v>44660</v>
      </c>
    </row>
    <row r="57" spans="2:10" x14ac:dyDescent="0.25">
      <c r="B57">
        <v>3</v>
      </c>
      <c r="C57" t="s">
        <v>10</v>
      </c>
      <c r="E57" s="169"/>
      <c r="G57" s="139"/>
      <c r="H57" s="29"/>
      <c r="I57" s="49">
        <f t="shared" si="1"/>
        <v>0</v>
      </c>
      <c r="J57" s="49">
        <f t="shared" si="2"/>
        <v>0</v>
      </c>
    </row>
    <row r="58" spans="2:10" x14ac:dyDescent="0.25">
      <c r="C58" t="s">
        <v>5</v>
      </c>
      <c r="E58" s="169">
        <v>30240</v>
      </c>
      <c r="G58" s="139">
        <v>0.37962962962962965</v>
      </c>
      <c r="H58" s="29"/>
      <c r="I58" s="49">
        <f t="shared" si="1"/>
        <v>11480</v>
      </c>
      <c r="J58" s="49">
        <f t="shared" si="2"/>
        <v>18760</v>
      </c>
    </row>
    <row r="59" spans="2:10" x14ac:dyDescent="0.25">
      <c r="C59" t="s">
        <v>6</v>
      </c>
      <c r="E59" s="169">
        <v>28140</v>
      </c>
      <c r="G59" s="139">
        <v>0.4079601990049751</v>
      </c>
      <c r="H59" s="29"/>
      <c r="I59" s="49">
        <f t="shared" si="1"/>
        <v>11480</v>
      </c>
      <c r="J59" s="49">
        <f t="shared" si="2"/>
        <v>16660</v>
      </c>
    </row>
    <row r="60" spans="2:10" x14ac:dyDescent="0.25">
      <c r="C60" t="s">
        <v>7</v>
      </c>
      <c r="E60" s="169">
        <v>26600</v>
      </c>
      <c r="G60" s="139">
        <v>0.43157894736842106</v>
      </c>
      <c r="H60" s="29"/>
      <c r="I60" s="49">
        <f t="shared" si="1"/>
        <v>11480</v>
      </c>
      <c r="J60" s="49">
        <f t="shared" si="2"/>
        <v>15120</v>
      </c>
    </row>
    <row r="61" spans="2:10" x14ac:dyDescent="0.25">
      <c r="C61" t="s">
        <v>8</v>
      </c>
      <c r="E61" s="169">
        <v>57960</v>
      </c>
      <c r="G61" s="139">
        <v>0.19806763285024154</v>
      </c>
      <c r="H61" s="29"/>
      <c r="I61" s="49">
        <f t="shared" si="1"/>
        <v>11480</v>
      </c>
      <c r="J61" s="49">
        <f t="shared" si="2"/>
        <v>46480</v>
      </c>
    </row>
    <row r="62" spans="2:10" x14ac:dyDescent="0.25">
      <c r="B62">
        <v>4</v>
      </c>
      <c r="C62" t="s">
        <v>83</v>
      </c>
      <c r="E62" s="169"/>
      <c r="G62" s="139"/>
      <c r="H62" s="29"/>
      <c r="I62" s="49">
        <f t="shared" si="1"/>
        <v>0</v>
      </c>
      <c r="J62" s="49">
        <f t="shared" si="2"/>
        <v>0</v>
      </c>
    </row>
    <row r="63" spans="2:10" x14ac:dyDescent="0.25">
      <c r="C63" t="s">
        <v>84</v>
      </c>
      <c r="E63" s="169">
        <v>18620</v>
      </c>
      <c r="G63" s="139">
        <v>0.61654135338345861</v>
      </c>
      <c r="H63" s="29"/>
      <c r="I63" s="49">
        <f t="shared" si="1"/>
        <v>11480</v>
      </c>
      <c r="J63" s="49">
        <f t="shared" si="2"/>
        <v>7140</v>
      </c>
    </row>
    <row r="64" spans="2:10" x14ac:dyDescent="0.25">
      <c r="C64" t="s">
        <v>85</v>
      </c>
      <c r="E64" s="169">
        <v>21000</v>
      </c>
      <c r="G64" s="139">
        <v>0.54666666666666663</v>
      </c>
      <c r="H64" s="29"/>
      <c r="I64" s="49">
        <f t="shared" si="1"/>
        <v>11480</v>
      </c>
      <c r="J64" s="49">
        <f t="shared" si="2"/>
        <v>9520</v>
      </c>
    </row>
    <row r="65" spans="2:10" x14ac:dyDescent="0.25">
      <c r="B65">
        <v>5</v>
      </c>
      <c r="C65" t="s">
        <v>86</v>
      </c>
      <c r="E65" s="169">
        <v>15820</v>
      </c>
      <c r="G65" s="139">
        <v>0.72566371681415931</v>
      </c>
      <c r="H65" s="29"/>
      <c r="I65" s="49">
        <f t="shared" si="1"/>
        <v>11480</v>
      </c>
      <c r="J65" s="49">
        <f t="shared" si="2"/>
        <v>4340</v>
      </c>
    </row>
  </sheetData>
  <mergeCells count="21">
    <mergeCell ref="D1:E1"/>
    <mergeCell ref="A6:C6"/>
    <mergeCell ref="A7:C7"/>
    <mergeCell ref="A8:C8"/>
    <mergeCell ref="L2:N2"/>
    <mergeCell ref="D2:E2"/>
    <mergeCell ref="B42:C42"/>
    <mergeCell ref="B40:C40"/>
    <mergeCell ref="B41:C41"/>
    <mergeCell ref="A45:C45"/>
    <mergeCell ref="F2:K2"/>
    <mergeCell ref="A12:A15"/>
    <mergeCell ref="B12:B15"/>
    <mergeCell ref="B38:C38"/>
    <mergeCell ref="A9:C9"/>
    <mergeCell ref="A10:C10"/>
    <mergeCell ref="A11:C11"/>
    <mergeCell ref="B16:C16"/>
    <mergeCell ref="B21:C21"/>
    <mergeCell ref="B26:C26"/>
    <mergeCell ref="B31:C31"/>
  </mergeCells>
  <pageMargins left="0.7" right="0.7" top="0.75" bottom="0.75" header="0.3" footer="0.3"/>
  <pageSetup paperSize="9" scale="68" fitToHeight="0" orientation="portrait" r:id="rId1"/>
  <rowBreaks count="1" manualBreakCount="1">
    <brk id="44" max="16383" man="1"/>
  </rowBreaks>
  <colBreaks count="1" manualBreakCount="1">
    <brk id="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2"/>
  <sheetViews>
    <sheetView view="pageBreakPreview" zoomScale="60" zoomScaleNormal="60" workbookViewId="0">
      <selection activeCell="G39" sqref="G39"/>
    </sheetView>
  </sheetViews>
  <sheetFormatPr defaultColWidth="9.140625" defaultRowHeight="14.25" x14ac:dyDescent="0.2"/>
  <cols>
    <col min="1" max="1" width="4.5703125" style="105" customWidth="1"/>
    <col min="2" max="2" width="83.7109375" style="105" customWidth="1"/>
    <col min="3" max="3" width="26.140625" style="105" customWidth="1"/>
    <col min="4" max="5" width="28.42578125" style="105" customWidth="1"/>
    <col min="6" max="8" width="12" style="105" customWidth="1"/>
    <col min="9" max="9" width="15.42578125" style="105" customWidth="1"/>
    <col min="10" max="10" width="21.7109375" style="105" customWidth="1"/>
    <col min="11" max="11" width="8.85546875" style="105" customWidth="1"/>
    <col min="12" max="12" width="9.7109375" style="105" customWidth="1"/>
    <col min="13" max="13" width="9.28515625" style="105" customWidth="1"/>
    <col min="14" max="14" width="9.42578125" style="105" customWidth="1"/>
    <col min="15" max="15" width="8.5703125" style="105" customWidth="1"/>
    <col min="16" max="16" width="9.42578125" style="105" customWidth="1"/>
    <col min="17" max="17" width="8.28515625" style="105" customWidth="1"/>
    <col min="18" max="18" width="9" style="105" customWidth="1"/>
    <col min="19" max="19" width="4" style="105" customWidth="1"/>
    <col min="20" max="20" width="5.85546875" style="105" customWidth="1"/>
    <col min="21" max="33" width="14" style="105" customWidth="1"/>
    <col min="34" max="34" width="11.85546875" style="105" customWidth="1"/>
    <col min="35" max="35" width="12.7109375" style="105" customWidth="1"/>
    <col min="36" max="36" width="11.7109375" style="105" customWidth="1"/>
    <col min="37" max="37" width="9.42578125" style="105" customWidth="1"/>
    <col min="38" max="38" width="16" style="105" customWidth="1"/>
    <col min="39" max="39" width="13.85546875" style="105" customWidth="1"/>
    <col min="40" max="40" width="14.85546875" style="105" customWidth="1"/>
    <col min="41" max="16384" width="9.140625" style="105"/>
  </cols>
  <sheetData>
    <row r="1" spans="1:38" ht="15" x14ac:dyDescent="0.25">
      <c r="A1" s="174" t="s">
        <v>17</v>
      </c>
      <c r="B1" s="175"/>
      <c r="C1" s="427" t="s">
        <v>0</v>
      </c>
      <c r="D1" s="427"/>
      <c r="E1" s="292"/>
      <c r="F1" s="247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6"/>
      <c r="AI1" s="175"/>
      <c r="AJ1" s="175"/>
      <c r="AK1" s="175"/>
      <c r="AL1" s="175"/>
    </row>
    <row r="2" spans="1:38" ht="41.25" customHeight="1" x14ac:dyDescent="0.2">
      <c r="A2" s="177" t="s">
        <v>16</v>
      </c>
      <c r="B2" s="178"/>
      <c r="C2" s="428" t="s">
        <v>34</v>
      </c>
      <c r="D2" s="428"/>
      <c r="E2" s="293"/>
      <c r="F2" s="245"/>
      <c r="G2" s="223"/>
      <c r="H2" s="244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429"/>
      <c r="AI2" s="429"/>
      <c r="AJ2" s="429"/>
      <c r="AK2" s="178"/>
      <c r="AL2" s="178"/>
    </row>
    <row r="3" spans="1:38" ht="21.75" customHeight="1" x14ac:dyDescent="0.2">
      <c r="A3" s="175" t="s">
        <v>18</v>
      </c>
      <c r="B3" s="175"/>
      <c r="C3" s="426" t="s">
        <v>161</v>
      </c>
      <c r="D3" s="426"/>
      <c r="E3" s="291"/>
      <c r="F3" s="264"/>
      <c r="AH3" s="104"/>
    </row>
    <row r="4" spans="1:38" ht="14.25" customHeight="1" x14ac:dyDescent="0.2">
      <c r="C4" s="180"/>
      <c r="D4" s="180"/>
      <c r="E4" s="180"/>
      <c r="F4" s="180"/>
    </row>
    <row r="5" spans="1:38" ht="15" x14ac:dyDescent="0.25">
      <c r="A5" s="350" t="s">
        <v>1</v>
      </c>
      <c r="B5" s="350"/>
      <c r="C5" s="350"/>
      <c r="D5" s="350"/>
      <c r="E5" s="289"/>
      <c r="F5" s="238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</row>
    <row r="6" spans="1:38" ht="15" x14ac:dyDescent="0.25">
      <c r="A6" s="350" t="s">
        <v>33</v>
      </c>
      <c r="B6" s="350"/>
      <c r="C6" s="350"/>
      <c r="D6" s="350"/>
      <c r="E6" s="289"/>
      <c r="F6" s="238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</row>
    <row r="7" spans="1:38" ht="15.75" customHeight="1" x14ac:dyDescent="0.25">
      <c r="A7" s="357" t="s">
        <v>147</v>
      </c>
      <c r="B7" s="357"/>
      <c r="C7" s="357"/>
      <c r="D7" s="357"/>
      <c r="E7" s="290"/>
      <c r="F7" s="239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</row>
    <row r="8" spans="1:38" ht="15" customHeight="1" x14ac:dyDescent="0.25">
      <c r="A8" s="357" t="s">
        <v>149</v>
      </c>
      <c r="B8" s="357"/>
      <c r="C8" s="357"/>
      <c r="D8" s="357"/>
      <c r="E8" s="290"/>
      <c r="F8" s="239"/>
    </row>
    <row r="9" spans="1:38" ht="17.25" customHeight="1" x14ac:dyDescent="0.2">
      <c r="A9" s="439" t="s">
        <v>171</v>
      </c>
      <c r="B9" s="439"/>
      <c r="C9" s="439"/>
      <c r="D9" s="439"/>
      <c r="E9" s="282"/>
      <c r="F9" s="2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</row>
    <row r="10" spans="1:38" ht="30.75" customHeight="1" x14ac:dyDescent="0.2">
      <c r="A10" s="324" t="s">
        <v>3</v>
      </c>
      <c r="B10" s="325" t="s">
        <v>29</v>
      </c>
      <c r="C10" s="431" t="s">
        <v>163</v>
      </c>
      <c r="D10" s="432"/>
      <c r="E10" s="283"/>
      <c r="F10" s="283"/>
    </row>
    <row r="11" spans="1:38" ht="30.75" customHeight="1" x14ac:dyDescent="0.2">
      <c r="A11" s="324"/>
      <c r="B11" s="325"/>
      <c r="C11" s="433" t="s">
        <v>164</v>
      </c>
      <c r="D11" s="434"/>
      <c r="E11" s="284"/>
      <c r="F11" s="284"/>
    </row>
    <row r="12" spans="1:38" ht="24.75" customHeight="1" x14ac:dyDescent="0.2">
      <c r="A12" s="324"/>
      <c r="B12" s="325"/>
      <c r="C12" s="435" t="s">
        <v>165</v>
      </c>
      <c r="D12" s="436"/>
      <c r="E12" s="284"/>
      <c r="F12" s="284"/>
    </row>
    <row r="13" spans="1:38" ht="17.25" customHeight="1" x14ac:dyDescent="0.2">
      <c r="A13" s="324"/>
      <c r="B13" s="325"/>
      <c r="C13" s="437" t="s">
        <v>148</v>
      </c>
      <c r="D13" s="438"/>
      <c r="E13" s="285"/>
      <c r="F13" s="285"/>
    </row>
    <row r="14" spans="1:38" ht="40.5" customHeight="1" x14ac:dyDescent="0.2">
      <c r="A14" s="168"/>
      <c r="B14" s="166"/>
      <c r="C14" s="167" t="s">
        <v>151</v>
      </c>
      <c r="D14" s="167" t="s">
        <v>152</v>
      </c>
      <c r="E14" s="286"/>
      <c r="F14" s="286"/>
    </row>
    <row r="15" spans="1:38" ht="17.25" customHeight="1" x14ac:dyDescent="0.25">
      <c r="A15" s="25">
        <v>1</v>
      </c>
      <c r="B15" s="261" t="s">
        <v>4</v>
      </c>
      <c r="C15" s="262"/>
      <c r="D15" s="262"/>
      <c r="E15" s="287"/>
      <c r="F15" s="287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</row>
    <row r="16" spans="1:38" ht="14.25" customHeight="1" x14ac:dyDescent="0.2">
      <c r="A16" s="36"/>
      <c r="B16" s="233" t="s">
        <v>5</v>
      </c>
      <c r="C16" s="162">
        <f>'прейс озд. прог.2018 Монди полн'!C17*0.2</f>
        <v>4788</v>
      </c>
      <c r="D16" s="162">
        <f>C16+330-1</f>
        <v>5117</v>
      </c>
      <c r="E16" s="288">
        <f>C16/14</f>
        <v>342</v>
      </c>
      <c r="F16" s="300">
        <f>D16/14</f>
        <v>365.5</v>
      </c>
      <c r="G16" s="170">
        <v>365.5</v>
      </c>
      <c r="H16" s="170">
        <f>G16*14</f>
        <v>5117</v>
      </c>
      <c r="I16" s="199">
        <v>4800.0516060665395</v>
      </c>
      <c r="J16" s="199">
        <v>5130.0516060665395</v>
      </c>
      <c r="K16" s="199">
        <v>4800.0535884665396</v>
      </c>
      <c r="L16" s="199">
        <v>5130.0535884665396</v>
      </c>
      <c r="M16" s="199">
        <v>4800.0554196665398</v>
      </c>
      <c r="N16" s="199">
        <v>5130.0554196665398</v>
      </c>
      <c r="O16" s="170"/>
      <c r="P16" s="172">
        <f t="shared" ref="P16:P33" si="0">C16-I16</f>
        <v>-12.051606066539534</v>
      </c>
      <c r="Q16" s="172">
        <f t="shared" ref="Q16:Q33" si="1">D16-J16</f>
        <v>-13.051606066539534</v>
      </c>
      <c r="R16" s="172" t="e">
        <f>#REF!-K16</f>
        <v>#REF!</v>
      </c>
      <c r="S16" s="172" t="e">
        <f>#REF!-L16</f>
        <v>#REF!</v>
      </c>
      <c r="T16" s="172" t="e">
        <f>#REF!-M16</f>
        <v>#REF!</v>
      </c>
      <c r="U16" s="172" t="e">
        <f>#REF!-N16</f>
        <v>#REF!</v>
      </c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</row>
    <row r="17" spans="1:37" ht="14.25" customHeight="1" x14ac:dyDescent="0.2">
      <c r="A17" s="36"/>
      <c r="B17" s="233" t="s">
        <v>6</v>
      </c>
      <c r="C17" s="162">
        <f>'прейс озд. прог.2018 Монди полн'!C18*0.2</f>
        <v>4368</v>
      </c>
      <c r="D17" s="162">
        <f>C17+330-1</f>
        <v>4697</v>
      </c>
      <c r="E17" s="288">
        <f t="shared" ref="E17:E33" si="2">C17/14</f>
        <v>312</v>
      </c>
      <c r="F17" s="300">
        <f t="shared" ref="F17:F33" si="3">D17/14</f>
        <v>335.5</v>
      </c>
      <c r="G17" s="170">
        <v>335.5</v>
      </c>
      <c r="H17" s="170">
        <f t="shared" ref="H17:H33" si="4">G17*14</f>
        <v>4697</v>
      </c>
      <c r="I17" s="199">
        <v>4387.5362774898276</v>
      </c>
      <c r="J17" s="199">
        <v>4717.5362774898276</v>
      </c>
      <c r="K17" s="199">
        <v>4387.5382598898277</v>
      </c>
      <c r="L17" s="199">
        <v>4717.5382598898277</v>
      </c>
      <c r="M17" s="199">
        <v>4387.5400910898279</v>
      </c>
      <c r="N17" s="199">
        <v>4717.5400910898279</v>
      </c>
      <c r="O17" s="170"/>
      <c r="P17" s="172">
        <f t="shared" si="0"/>
        <v>-19.536277489827626</v>
      </c>
      <c r="Q17" s="172">
        <f t="shared" si="1"/>
        <v>-20.536277489827626</v>
      </c>
      <c r="R17" s="172" t="e">
        <f>#REF!-K17</f>
        <v>#REF!</v>
      </c>
      <c r="S17" s="172" t="e">
        <f>#REF!-L17</f>
        <v>#REF!</v>
      </c>
      <c r="T17" s="172" t="e">
        <f>#REF!-M17</f>
        <v>#REF!</v>
      </c>
      <c r="U17" s="172" t="e">
        <f>#REF!-N17</f>
        <v>#REF!</v>
      </c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</row>
    <row r="18" spans="1:37" ht="14.25" hidden="1" customHeight="1" x14ac:dyDescent="0.2">
      <c r="A18" s="36"/>
      <c r="B18" s="233" t="s">
        <v>7</v>
      </c>
      <c r="C18" s="162">
        <f>'прейс озд. прог.2018 Монди полн'!C19*0.2</f>
        <v>4060</v>
      </c>
      <c r="D18" s="162">
        <f t="shared" ref="D18:D28" si="5">C18+330</f>
        <v>4390</v>
      </c>
      <c r="E18" s="288">
        <f t="shared" si="2"/>
        <v>290</v>
      </c>
      <c r="F18" s="300">
        <f t="shared" si="3"/>
        <v>313.57142857142856</v>
      </c>
      <c r="G18" s="170"/>
      <c r="H18" s="170">
        <f t="shared" si="4"/>
        <v>0</v>
      </c>
      <c r="I18" s="199">
        <v>4104.6973191912257</v>
      </c>
      <c r="J18" s="199">
        <v>4434.6973191912257</v>
      </c>
      <c r="K18" s="199">
        <v>4104.6993015912258</v>
      </c>
      <c r="L18" s="199">
        <v>4434.6993015912258</v>
      </c>
      <c r="M18" s="199">
        <v>4104.701132791226</v>
      </c>
      <c r="N18" s="199">
        <v>4434.701132791226</v>
      </c>
      <c r="P18" s="172">
        <f t="shared" si="0"/>
        <v>-44.697319191225688</v>
      </c>
      <c r="Q18" s="172">
        <f t="shared" si="1"/>
        <v>-44.697319191225688</v>
      </c>
      <c r="R18" s="172" t="e">
        <f>#REF!-K18</f>
        <v>#REF!</v>
      </c>
      <c r="S18" s="172" t="e">
        <f>#REF!-L18</f>
        <v>#REF!</v>
      </c>
      <c r="T18" s="172" t="e">
        <f>#REF!-M18</f>
        <v>#REF!</v>
      </c>
      <c r="U18" s="172" t="e">
        <f>#REF!-N18</f>
        <v>#REF!</v>
      </c>
      <c r="V18" s="170"/>
    </row>
    <row r="19" spans="1:37" ht="14.25" customHeight="1" x14ac:dyDescent="0.2">
      <c r="A19" s="27"/>
      <c r="B19" s="234" t="s">
        <v>8</v>
      </c>
      <c r="C19" s="162">
        <f>'прейс озд. прог.2018 Монди полн'!C20*0.2</f>
        <v>10332</v>
      </c>
      <c r="D19" s="162">
        <f>C19+330-1</f>
        <v>10661</v>
      </c>
      <c r="E19" s="288">
        <f t="shared" si="2"/>
        <v>738</v>
      </c>
      <c r="F19" s="300">
        <f t="shared" si="3"/>
        <v>761.5</v>
      </c>
      <c r="G19" s="170">
        <v>523.5</v>
      </c>
      <c r="H19" s="170">
        <f t="shared" si="4"/>
        <v>7329</v>
      </c>
      <c r="I19" s="199">
        <v>6747.6847164251776</v>
      </c>
      <c r="J19" s="199">
        <v>7077.6847164251776</v>
      </c>
      <c r="K19" s="199">
        <v>6747.6866988251777</v>
      </c>
      <c r="L19" s="199">
        <v>7077.6866988251777</v>
      </c>
      <c r="M19" s="199">
        <v>6747.6885300251779</v>
      </c>
      <c r="N19" s="199">
        <v>7077.6885300251779</v>
      </c>
      <c r="P19" s="172">
        <f t="shared" si="0"/>
        <v>3584.3152835748224</v>
      </c>
      <c r="Q19" s="172">
        <f t="shared" si="1"/>
        <v>3583.3152835748224</v>
      </c>
      <c r="R19" s="172" t="e">
        <f>#REF!-K19</f>
        <v>#REF!</v>
      </c>
      <c r="S19" s="172" t="e">
        <f>#REF!-L19</f>
        <v>#REF!</v>
      </c>
      <c r="T19" s="172" t="e">
        <f>#REF!-M19</f>
        <v>#REF!</v>
      </c>
      <c r="U19" s="172" t="e">
        <f>#REF!-N19</f>
        <v>#REF!</v>
      </c>
      <c r="V19" s="170"/>
    </row>
    <row r="20" spans="1:37" ht="21" customHeight="1" x14ac:dyDescent="0.25">
      <c r="A20" s="25">
        <v>2</v>
      </c>
      <c r="B20" s="263" t="s">
        <v>9</v>
      </c>
      <c r="C20" s="162"/>
      <c r="D20" s="162"/>
      <c r="E20" s="288">
        <f t="shared" si="2"/>
        <v>0</v>
      </c>
      <c r="F20" s="300">
        <f t="shared" si="3"/>
        <v>0</v>
      </c>
      <c r="G20" s="170"/>
      <c r="H20" s="170">
        <f t="shared" si="4"/>
        <v>0</v>
      </c>
      <c r="I20" s="199"/>
      <c r="J20" s="199"/>
      <c r="K20" s="199"/>
      <c r="L20" s="199"/>
      <c r="M20" s="199"/>
      <c r="N20" s="199"/>
      <c r="P20" s="172">
        <f t="shared" si="0"/>
        <v>0</v>
      </c>
      <c r="Q20" s="172">
        <f t="shared" si="1"/>
        <v>0</v>
      </c>
      <c r="R20" s="172" t="e">
        <f>#REF!-K20</f>
        <v>#REF!</v>
      </c>
      <c r="S20" s="172" t="e">
        <f>#REF!-L20</f>
        <v>#REF!</v>
      </c>
      <c r="T20" s="172" t="e">
        <f>#REF!-M20</f>
        <v>#REF!</v>
      </c>
      <c r="U20" s="172" t="e">
        <f>#REF!-N20</f>
        <v>#REF!</v>
      </c>
      <c r="V20" s="170"/>
    </row>
    <row r="21" spans="1:37" ht="14.25" customHeight="1" x14ac:dyDescent="0.2">
      <c r="A21" s="36"/>
      <c r="B21" s="233" t="s">
        <v>5</v>
      </c>
      <c r="C21" s="162">
        <f>'прейс озд. прог.2018 Монди полн'!C22*0.2</f>
        <v>5264</v>
      </c>
      <c r="D21" s="162">
        <f>C21+330-1</f>
        <v>5593</v>
      </c>
      <c r="E21" s="288">
        <f t="shared" si="2"/>
        <v>376</v>
      </c>
      <c r="F21" s="300">
        <f t="shared" si="3"/>
        <v>399.5</v>
      </c>
      <c r="G21" s="170">
        <v>399.5</v>
      </c>
      <c r="H21" s="170">
        <f t="shared" si="4"/>
        <v>5593</v>
      </c>
      <c r="I21" s="199">
        <v>5259.0805440960557</v>
      </c>
      <c r="J21" s="199">
        <v>5589.0805440960557</v>
      </c>
      <c r="K21" s="199">
        <v>5259.0825264960558</v>
      </c>
      <c r="L21" s="199">
        <v>5589.0825264960558</v>
      </c>
      <c r="M21" s="199">
        <v>5259.084357696056</v>
      </c>
      <c r="N21" s="199">
        <v>5589.084357696056</v>
      </c>
      <c r="P21" s="172">
        <f t="shared" si="0"/>
        <v>4.9194559039442538</v>
      </c>
      <c r="Q21" s="172">
        <f t="shared" si="1"/>
        <v>3.9194559039442538</v>
      </c>
      <c r="R21" s="172" t="e">
        <f>#REF!-K21</f>
        <v>#REF!</v>
      </c>
      <c r="S21" s="172" t="e">
        <f>#REF!-L21</f>
        <v>#REF!</v>
      </c>
      <c r="T21" s="172" t="e">
        <f>#REF!-M21</f>
        <v>#REF!</v>
      </c>
      <c r="U21" s="172" t="e">
        <f>#REF!-N21</f>
        <v>#REF!</v>
      </c>
      <c r="V21" s="170"/>
    </row>
    <row r="22" spans="1:37" ht="14.25" customHeight="1" x14ac:dyDescent="0.2">
      <c r="A22" s="36"/>
      <c r="B22" s="233" t="s">
        <v>6</v>
      </c>
      <c r="C22" s="162">
        <f>'прейс озд. прог.2018 Монди полн'!C23*0.2</f>
        <v>4844</v>
      </c>
      <c r="D22" s="162">
        <f>C22+330-1</f>
        <v>5173</v>
      </c>
      <c r="E22" s="288">
        <f t="shared" si="2"/>
        <v>346</v>
      </c>
      <c r="F22" s="300">
        <f t="shared" si="3"/>
        <v>369.5</v>
      </c>
      <c r="G22" s="170">
        <v>369.5</v>
      </c>
      <c r="H22" s="170">
        <f t="shared" si="4"/>
        <v>5173</v>
      </c>
      <c r="I22" s="199">
        <v>4844.6236295098015</v>
      </c>
      <c r="J22" s="199">
        <v>5174.6236295098015</v>
      </c>
      <c r="K22" s="199">
        <v>4844.6256119098025</v>
      </c>
      <c r="L22" s="199">
        <v>5174.6256119098025</v>
      </c>
      <c r="M22" s="199">
        <v>4844.6274431098018</v>
      </c>
      <c r="N22" s="199">
        <v>5174.6274431098018</v>
      </c>
      <c r="P22" s="172">
        <f t="shared" si="0"/>
        <v>-0.62362950980150345</v>
      </c>
      <c r="Q22" s="172">
        <f t="shared" si="1"/>
        <v>-1.6236295098015034</v>
      </c>
      <c r="R22" s="172" t="e">
        <f>#REF!-K22</f>
        <v>#REF!</v>
      </c>
      <c r="S22" s="172" t="e">
        <f>#REF!-L22</f>
        <v>#REF!</v>
      </c>
      <c r="T22" s="172" t="e">
        <f>#REF!-M22</f>
        <v>#REF!</v>
      </c>
      <c r="U22" s="172" t="e">
        <f>#REF!-N22</f>
        <v>#REF!</v>
      </c>
      <c r="V22" s="170"/>
    </row>
    <row r="23" spans="1:37" ht="14.25" hidden="1" customHeight="1" x14ac:dyDescent="0.2">
      <c r="A23" s="36"/>
      <c r="B23" s="233" t="s">
        <v>7</v>
      </c>
      <c r="C23" s="162">
        <f>'прейс озд. прог.2018 Монди полн'!C24*0.2</f>
        <v>4536</v>
      </c>
      <c r="D23" s="162">
        <f t="shared" si="5"/>
        <v>4866</v>
      </c>
      <c r="E23" s="288">
        <f t="shared" si="2"/>
        <v>324</v>
      </c>
      <c r="F23" s="300">
        <f t="shared" si="3"/>
        <v>347.57142857142856</v>
      </c>
      <c r="G23" s="170"/>
      <c r="H23" s="170">
        <f t="shared" si="4"/>
        <v>0</v>
      </c>
      <c r="I23" s="199">
        <v>4560.1374782522853</v>
      </c>
      <c r="J23" s="199">
        <v>4890.1374782522853</v>
      </c>
      <c r="K23" s="199">
        <v>4560.1394606522854</v>
      </c>
      <c r="L23" s="199">
        <v>4890.1394606522854</v>
      </c>
      <c r="M23" s="199">
        <v>4560.1412918522856</v>
      </c>
      <c r="N23" s="199">
        <v>4890.1412918522856</v>
      </c>
      <c r="P23" s="172">
        <f t="shared" si="0"/>
        <v>-24.137478252285291</v>
      </c>
      <c r="Q23" s="172">
        <f t="shared" si="1"/>
        <v>-24.137478252285291</v>
      </c>
      <c r="R23" s="172" t="e">
        <f>#REF!-K23</f>
        <v>#REF!</v>
      </c>
      <c r="S23" s="172" t="e">
        <f>#REF!-L23</f>
        <v>#REF!</v>
      </c>
      <c r="T23" s="172" t="e">
        <f>#REF!-M23</f>
        <v>#REF!</v>
      </c>
      <c r="U23" s="172" t="e">
        <f>#REF!-N23</f>
        <v>#REF!</v>
      </c>
      <c r="V23" s="170"/>
    </row>
    <row r="24" spans="1:37" ht="14.25" customHeight="1" x14ac:dyDescent="0.2">
      <c r="A24" s="27"/>
      <c r="B24" s="234" t="s">
        <v>8</v>
      </c>
      <c r="C24" s="162">
        <f>'прейс озд. прог.2018 Монди полн'!C25*0.2</f>
        <v>10808</v>
      </c>
      <c r="D24" s="162">
        <f>C24+330-1</f>
        <v>11137</v>
      </c>
      <c r="E24" s="288">
        <f t="shared" si="2"/>
        <v>772</v>
      </c>
      <c r="F24" s="300">
        <f t="shared" si="3"/>
        <v>795.5</v>
      </c>
      <c r="G24" s="170">
        <v>547.5</v>
      </c>
      <c r="H24" s="170">
        <f t="shared" si="4"/>
        <v>7665</v>
      </c>
      <c r="I24" s="199">
        <v>7211.8486012689682</v>
      </c>
      <c r="J24" s="199">
        <v>7541.8486012689682</v>
      </c>
      <c r="K24" s="199">
        <v>7211.8505836689692</v>
      </c>
      <c r="L24" s="199">
        <v>7541.8505836689692</v>
      </c>
      <c r="M24" s="199">
        <v>7211.8524148689685</v>
      </c>
      <c r="N24" s="199">
        <v>7541.8524148689685</v>
      </c>
      <c r="P24" s="172">
        <f t="shared" si="0"/>
        <v>3596.1513987310318</v>
      </c>
      <c r="Q24" s="172">
        <f t="shared" si="1"/>
        <v>3595.1513987310318</v>
      </c>
      <c r="R24" s="172" t="e">
        <f>#REF!-K24</f>
        <v>#REF!</v>
      </c>
      <c r="S24" s="172" t="e">
        <f>#REF!-L24</f>
        <v>#REF!</v>
      </c>
      <c r="T24" s="172" t="e">
        <f>#REF!-M24</f>
        <v>#REF!</v>
      </c>
      <c r="U24" s="172" t="e">
        <f>#REF!-N24</f>
        <v>#REF!</v>
      </c>
      <c r="V24" s="170"/>
    </row>
    <row r="25" spans="1:37" ht="20.25" customHeight="1" x14ac:dyDescent="0.25">
      <c r="A25" s="25">
        <v>3</v>
      </c>
      <c r="B25" s="263" t="s">
        <v>10</v>
      </c>
      <c r="C25" s="162"/>
      <c r="D25" s="162"/>
      <c r="E25" s="288">
        <f t="shared" si="2"/>
        <v>0</v>
      </c>
      <c r="F25" s="300">
        <f t="shared" si="3"/>
        <v>0</v>
      </c>
      <c r="G25" s="170"/>
      <c r="H25" s="170">
        <f t="shared" si="4"/>
        <v>0</v>
      </c>
      <c r="I25" s="27"/>
      <c r="J25" s="27"/>
      <c r="K25" s="27"/>
      <c r="L25" s="27"/>
      <c r="M25" s="27"/>
      <c r="N25" s="27"/>
      <c r="P25" s="172">
        <f t="shared" si="0"/>
        <v>0</v>
      </c>
      <c r="Q25" s="172">
        <f t="shared" si="1"/>
        <v>0</v>
      </c>
      <c r="R25" s="172" t="e">
        <f>#REF!-K25</f>
        <v>#REF!</v>
      </c>
      <c r="S25" s="172" t="e">
        <f>#REF!-L25</f>
        <v>#REF!</v>
      </c>
      <c r="T25" s="172" t="e">
        <f>#REF!-M25</f>
        <v>#REF!</v>
      </c>
      <c r="U25" s="172" t="e">
        <f>#REF!-N25</f>
        <v>#REF!</v>
      </c>
      <c r="V25" s="170"/>
    </row>
    <row r="26" spans="1:37" ht="14.25" customHeight="1" x14ac:dyDescent="0.2">
      <c r="A26" s="36"/>
      <c r="B26" s="233" t="s">
        <v>5</v>
      </c>
      <c r="C26" s="162">
        <f>'прейс озд. прог.2018 Монди полн'!C27*0.2</f>
        <v>5628</v>
      </c>
      <c r="D26" s="162">
        <f>C26+330-1</f>
        <v>5957</v>
      </c>
      <c r="E26" s="288">
        <f t="shared" si="2"/>
        <v>402</v>
      </c>
      <c r="F26" s="300">
        <f t="shared" si="3"/>
        <v>425.5</v>
      </c>
      <c r="G26" s="170">
        <v>425.5</v>
      </c>
      <c r="H26" s="170">
        <f t="shared" si="4"/>
        <v>5957</v>
      </c>
      <c r="I26" s="199">
        <v>5580.7890190273029</v>
      </c>
      <c r="J26" s="199">
        <v>5910.7890190273029</v>
      </c>
      <c r="K26" s="199">
        <v>5580.7910014273039</v>
      </c>
      <c r="L26" s="199">
        <v>5910.7910014273039</v>
      </c>
      <c r="M26" s="199">
        <v>5580.7928326273031</v>
      </c>
      <c r="N26" s="199">
        <v>5910.7928326273031</v>
      </c>
      <c r="P26" s="172">
        <f t="shared" si="0"/>
        <v>47.210980972697143</v>
      </c>
      <c r="Q26" s="172">
        <f t="shared" si="1"/>
        <v>46.210980972697143</v>
      </c>
      <c r="R26" s="172" t="e">
        <f>#REF!-K26</f>
        <v>#REF!</v>
      </c>
      <c r="S26" s="172" t="e">
        <f>#REF!-L26</f>
        <v>#REF!</v>
      </c>
      <c r="T26" s="172" t="e">
        <f>#REF!-M26</f>
        <v>#REF!</v>
      </c>
      <c r="U26" s="172" t="e">
        <f>#REF!-N26</f>
        <v>#REF!</v>
      </c>
      <c r="V26" s="170"/>
    </row>
    <row r="27" spans="1:37" ht="14.25" customHeight="1" x14ac:dyDescent="0.2">
      <c r="A27" s="36"/>
      <c r="B27" s="233" t="s">
        <v>6</v>
      </c>
      <c r="C27" s="162">
        <f>'прейс озд. прог.2018 Монди полн'!C28*0.2</f>
        <v>5208</v>
      </c>
      <c r="D27" s="162">
        <f>C27+330-1</f>
        <v>5537</v>
      </c>
      <c r="E27" s="288">
        <f t="shared" si="2"/>
        <v>372</v>
      </c>
      <c r="F27" s="300">
        <f t="shared" si="3"/>
        <v>395.5</v>
      </c>
      <c r="G27" s="170">
        <v>395.5</v>
      </c>
      <c r="H27" s="170">
        <f t="shared" si="4"/>
        <v>5537</v>
      </c>
      <c r="I27" s="199">
        <v>5165.2434351105348</v>
      </c>
      <c r="J27" s="199">
        <v>5495.2434351105348</v>
      </c>
      <c r="K27" s="199">
        <v>5165.2454175105349</v>
      </c>
      <c r="L27" s="199">
        <v>5495.2454175105349</v>
      </c>
      <c r="M27" s="199">
        <v>5165.2472487105351</v>
      </c>
      <c r="N27" s="199">
        <v>5495.2472487105351</v>
      </c>
      <c r="P27" s="172">
        <f t="shared" si="0"/>
        <v>42.756564889465153</v>
      </c>
      <c r="Q27" s="172">
        <f t="shared" si="1"/>
        <v>41.756564889465153</v>
      </c>
      <c r="R27" s="172" t="e">
        <f>#REF!-K27</f>
        <v>#REF!</v>
      </c>
      <c r="S27" s="172" t="e">
        <f>#REF!-L27</f>
        <v>#REF!</v>
      </c>
      <c r="T27" s="172" t="e">
        <f>#REF!-M27</f>
        <v>#REF!</v>
      </c>
      <c r="U27" s="172" t="e">
        <f>#REF!-N27</f>
        <v>#REF!</v>
      </c>
      <c r="V27" s="170"/>
    </row>
    <row r="28" spans="1:37" ht="14.25" hidden="1" customHeight="1" x14ac:dyDescent="0.2">
      <c r="A28" s="36"/>
      <c r="B28" s="233" t="s">
        <v>7</v>
      </c>
      <c r="C28" s="162">
        <f>'прейс озд. прог.2018 Монди полн'!C29*0.2</f>
        <v>4900</v>
      </c>
      <c r="D28" s="162">
        <f t="shared" si="5"/>
        <v>5230</v>
      </c>
      <c r="E28" s="288">
        <f t="shared" si="2"/>
        <v>350</v>
      </c>
      <c r="F28" s="300">
        <f t="shared" si="3"/>
        <v>373.57142857142856</v>
      </c>
      <c r="G28" s="170"/>
      <c r="H28" s="170">
        <f t="shared" si="4"/>
        <v>0</v>
      </c>
      <c r="I28" s="199">
        <v>4879.8476831023572</v>
      </c>
      <c r="J28" s="199">
        <v>5209.8476831023572</v>
      </c>
      <c r="K28" s="199">
        <v>4879.8496655023573</v>
      </c>
      <c r="L28" s="199">
        <v>5209.8496655023573</v>
      </c>
      <c r="M28" s="199">
        <v>4879.8514967023575</v>
      </c>
      <c r="N28" s="199">
        <v>5209.8514967023575</v>
      </c>
      <c r="P28" s="172">
        <f t="shared" si="0"/>
        <v>20.152316897642777</v>
      </c>
      <c r="Q28" s="172">
        <f t="shared" si="1"/>
        <v>20.152316897642777</v>
      </c>
      <c r="R28" s="172" t="e">
        <f>#REF!-K28</f>
        <v>#REF!</v>
      </c>
      <c r="S28" s="172" t="e">
        <f>#REF!-L28</f>
        <v>#REF!</v>
      </c>
      <c r="T28" s="172" t="e">
        <f>#REF!-M28</f>
        <v>#REF!</v>
      </c>
      <c r="U28" s="172" t="e">
        <f>#REF!-N28</f>
        <v>#REF!</v>
      </c>
      <c r="V28" s="170"/>
    </row>
    <row r="29" spans="1:37" ht="14.25" customHeight="1" x14ac:dyDescent="0.2">
      <c r="A29" s="27"/>
      <c r="B29" s="234" t="s">
        <v>8</v>
      </c>
      <c r="C29" s="162">
        <f>'прейс озд. прог.2018 Монди полн'!C30*0.2</f>
        <v>11172</v>
      </c>
      <c r="D29" s="162">
        <f>C29+330-1</f>
        <v>11501</v>
      </c>
      <c r="E29" s="288">
        <f t="shared" si="2"/>
        <v>798</v>
      </c>
      <c r="F29" s="300">
        <f t="shared" si="3"/>
        <v>821.5</v>
      </c>
      <c r="G29" s="170">
        <v>573.5</v>
      </c>
      <c r="H29" s="170">
        <f t="shared" si="4"/>
        <v>8029</v>
      </c>
      <c r="I29" s="199">
        <v>7536.5381216822025</v>
      </c>
      <c r="J29" s="199">
        <v>7866.5381216822025</v>
      </c>
      <c r="K29" s="199">
        <v>7536.5401040822026</v>
      </c>
      <c r="L29" s="199">
        <v>7866.5401040822026</v>
      </c>
      <c r="M29" s="199">
        <v>7536.5419352822028</v>
      </c>
      <c r="N29" s="199">
        <v>7866.5419352822028</v>
      </c>
      <c r="P29" s="172">
        <f t="shared" si="0"/>
        <v>3635.4618783177975</v>
      </c>
      <c r="Q29" s="172">
        <f t="shared" si="1"/>
        <v>3634.4618783177975</v>
      </c>
      <c r="R29" s="172" t="e">
        <f>#REF!-K29</f>
        <v>#REF!</v>
      </c>
      <c r="S29" s="172" t="e">
        <f>#REF!-L29</f>
        <v>#REF!</v>
      </c>
      <c r="T29" s="172" t="e">
        <f>#REF!-M29</f>
        <v>#REF!</v>
      </c>
      <c r="U29" s="172" t="e">
        <f>#REF!-N29</f>
        <v>#REF!</v>
      </c>
      <c r="V29" s="170"/>
    </row>
    <row r="30" spans="1:37" ht="20.25" customHeight="1" x14ac:dyDescent="0.25">
      <c r="A30" s="110">
        <v>4</v>
      </c>
      <c r="B30" s="263" t="s">
        <v>83</v>
      </c>
      <c r="C30" s="162"/>
      <c r="D30" s="162"/>
      <c r="E30" s="288">
        <f t="shared" si="2"/>
        <v>0</v>
      </c>
      <c r="F30" s="300">
        <f t="shared" si="3"/>
        <v>0</v>
      </c>
      <c r="G30" s="170"/>
      <c r="H30" s="170">
        <f t="shared" si="4"/>
        <v>0</v>
      </c>
      <c r="I30" s="27"/>
      <c r="J30" s="27"/>
      <c r="K30" s="27"/>
      <c r="L30" s="27"/>
      <c r="M30" s="27"/>
      <c r="N30" s="27"/>
      <c r="P30" s="172">
        <f t="shared" si="0"/>
        <v>0</v>
      </c>
      <c r="Q30" s="172">
        <f t="shared" si="1"/>
        <v>0</v>
      </c>
      <c r="R30" s="172" t="e">
        <f>#REF!-K30</f>
        <v>#REF!</v>
      </c>
      <c r="S30" s="172" t="e">
        <f>#REF!-L30</f>
        <v>#REF!</v>
      </c>
      <c r="T30" s="172" t="e">
        <f>#REF!-M30</f>
        <v>#REF!</v>
      </c>
      <c r="U30" s="172" t="e">
        <f>#REF!-N30</f>
        <v>#REF!</v>
      </c>
      <c r="V30" s="170"/>
    </row>
    <row r="31" spans="1:37" ht="14.25" customHeight="1" x14ac:dyDescent="0.2">
      <c r="A31" s="27"/>
      <c r="B31" s="234" t="s">
        <v>84</v>
      </c>
      <c r="C31" s="162">
        <f>'прейс озд. прог.2018 Монди полн'!C32*0.2</f>
        <v>3304</v>
      </c>
      <c r="D31" s="162">
        <f>C31+330-1</f>
        <v>3633</v>
      </c>
      <c r="E31" s="288">
        <f t="shared" si="2"/>
        <v>236</v>
      </c>
      <c r="F31" s="300">
        <f t="shared" si="3"/>
        <v>259.5</v>
      </c>
      <c r="G31" s="170">
        <v>259.5</v>
      </c>
      <c r="H31" s="170">
        <f t="shared" si="4"/>
        <v>3633</v>
      </c>
      <c r="I31" s="199">
        <v>3421.6426938892155</v>
      </c>
      <c r="J31" s="199">
        <v>3751.6426938892155</v>
      </c>
      <c r="K31" s="199">
        <v>3421.6446762892156</v>
      </c>
      <c r="L31" s="199">
        <v>3751.6446762892156</v>
      </c>
      <c r="M31" s="199">
        <v>3421.6465074892158</v>
      </c>
      <c r="N31" s="199">
        <v>3751.6465074892158</v>
      </c>
      <c r="P31" s="172">
        <f t="shared" si="0"/>
        <v>-117.64269388921548</v>
      </c>
      <c r="Q31" s="172">
        <f t="shared" si="1"/>
        <v>-118.64269388921548</v>
      </c>
      <c r="R31" s="172" t="e">
        <f>#REF!-K31</f>
        <v>#REF!</v>
      </c>
      <c r="S31" s="172" t="e">
        <f>#REF!-L31</f>
        <v>#REF!</v>
      </c>
      <c r="T31" s="172" t="e">
        <f>#REF!-M31</f>
        <v>#REF!</v>
      </c>
      <c r="U31" s="172" t="e">
        <f>#REF!-N31</f>
        <v>#REF!</v>
      </c>
      <c r="V31" s="170"/>
    </row>
    <row r="32" spans="1:37" ht="14.25" customHeight="1" x14ac:dyDescent="0.2">
      <c r="A32" s="108"/>
      <c r="B32" s="234" t="s">
        <v>85</v>
      </c>
      <c r="C32" s="162">
        <f>'прейс озд. прог.2018 Монди полн'!C33*0.2</f>
        <v>3780</v>
      </c>
      <c r="D32" s="162">
        <f>C32+330-1</f>
        <v>4109</v>
      </c>
      <c r="E32" s="288">
        <f t="shared" si="2"/>
        <v>270</v>
      </c>
      <c r="F32" s="300">
        <f t="shared" si="3"/>
        <v>293.5</v>
      </c>
      <c r="G32" s="170">
        <v>293.5</v>
      </c>
      <c r="H32" s="170">
        <f t="shared" si="4"/>
        <v>4109</v>
      </c>
      <c r="I32" s="199">
        <v>3871.4866648245552</v>
      </c>
      <c r="J32" s="199">
        <v>4201.4866648245552</v>
      </c>
      <c r="K32" s="199">
        <v>3871.4886472245557</v>
      </c>
      <c r="L32" s="199">
        <v>4201.4886472245562</v>
      </c>
      <c r="M32" s="199">
        <v>3871.4904784245555</v>
      </c>
      <c r="N32" s="199">
        <v>4201.4904784245555</v>
      </c>
      <c r="P32" s="172">
        <f t="shared" si="0"/>
        <v>-91.486664824555191</v>
      </c>
      <c r="Q32" s="172">
        <f t="shared" si="1"/>
        <v>-92.486664824555191</v>
      </c>
      <c r="R32" s="172" t="e">
        <f>#REF!-K32</f>
        <v>#REF!</v>
      </c>
      <c r="S32" s="172" t="e">
        <f>#REF!-L32</f>
        <v>#REF!</v>
      </c>
      <c r="T32" s="172" t="e">
        <f>#REF!-M32</f>
        <v>#REF!</v>
      </c>
      <c r="U32" s="172" t="e">
        <f>#REF!-N32</f>
        <v>#REF!</v>
      </c>
    </row>
    <row r="33" spans="1:21" ht="14.25" customHeight="1" x14ac:dyDescent="0.2">
      <c r="A33" s="108"/>
      <c r="B33" s="234" t="s">
        <v>86</v>
      </c>
      <c r="C33" s="162">
        <f>'прейс озд. прог.2018 Монди полн'!C34*0.2</f>
        <v>2744</v>
      </c>
      <c r="D33" s="162">
        <f>C33+330-1</f>
        <v>3073</v>
      </c>
      <c r="E33" s="288">
        <f t="shared" si="2"/>
        <v>196</v>
      </c>
      <c r="F33" s="300">
        <f t="shared" si="3"/>
        <v>219.5</v>
      </c>
      <c r="G33" s="170">
        <v>219.5</v>
      </c>
      <c r="H33" s="170">
        <f t="shared" si="4"/>
        <v>3073</v>
      </c>
      <c r="I33" s="199">
        <v>2366.7132754898516</v>
      </c>
      <c r="J33" s="199">
        <v>2696.7132754898516</v>
      </c>
      <c r="K33" s="199">
        <v>2366.7152578898517</v>
      </c>
      <c r="L33" s="199">
        <v>2696.7152578898517</v>
      </c>
      <c r="M33" s="199">
        <v>2366.7170890898519</v>
      </c>
      <c r="N33" s="199">
        <v>2696.7170890898519</v>
      </c>
      <c r="P33" s="172">
        <f t="shared" si="0"/>
        <v>377.28672451014836</v>
      </c>
      <c r="Q33" s="172">
        <f t="shared" si="1"/>
        <v>376.28672451014836</v>
      </c>
      <c r="R33" s="172" t="e">
        <f>#REF!-K33</f>
        <v>#REF!</v>
      </c>
      <c r="S33" s="172" t="e">
        <f>#REF!-L33</f>
        <v>#REF!</v>
      </c>
      <c r="T33" s="172" t="e">
        <f>#REF!-M33</f>
        <v>#REF!</v>
      </c>
      <c r="U33" s="172" t="e">
        <f>#REF!-N33</f>
        <v>#REF!</v>
      </c>
    </row>
    <row r="34" spans="1:21" ht="14.25" customHeight="1" x14ac:dyDescent="0.2">
      <c r="A34" s="237"/>
      <c r="B34" s="265"/>
      <c r="C34" s="255"/>
      <c r="D34" s="255"/>
      <c r="E34" s="255"/>
      <c r="F34" s="255"/>
      <c r="I34" s="266"/>
      <c r="J34" s="266"/>
      <c r="K34" s="266"/>
      <c r="L34" s="266"/>
      <c r="M34" s="266"/>
      <c r="N34" s="266"/>
      <c r="P34" s="172"/>
      <c r="Q34" s="172"/>
      <c r="R34" s="172"/>
      <c r="S34" s="172"/>
      <c r="T34" s="172"/>
      <c r="U34" s="172"/>
    </row>
    <row r="35" spans="1:21" ht="14.25" customHeight="1" x14ac:dyDescent="0.2">
      <c r="A35" s="237"/>
      <c r="B35" s="440" t="s">
        <v>185</v>
      </c>
      <c r="C35" s="440"/>
      <c r="D35" s="440"/>
      <c r="E35" s="295"/>
      <c r="F35" s="265"/>
      <c r="I35" s="266"/>
      <c r="J35" s="266"/>
      <c r="K35" s="266"/>
      <c r="L35" s="266"/>
      <c r="M35" s="266"/>
      <c r="N35" s="266"/>
      <c r="P35" s="172"/>
      <c r="Q35" s="172"/>
      <c r="R35" s="172"/>
      <c r="S35" s="172"/>
      <c r="T35" s="172"/>
      <c r="U35" s="172"/>
    </row>
    <row r="36" spans="1:21" ht="14.25" customHeight="1" x14ac:dyDescent="0.2">
      <c r="A36" s="237"/>
      <c r="B36" s="440"/>
      <c r="C36" s="440"/>
      <c r="D36" s="440"/>
      <c r="E36" s="295"/>
      <c r="F36" s="295"/>
      <c r="I36" s="266"/>
      <c r="J36" s="266"/>
      <c r="K36" s="266"/>
      <c r="L36" s="266"/>
      <c r="M36" s="266"/>
      <c r="N36" s="266"/>
      <c r="P36" s="172"/>
      <c r="Q36" s="172"/>
      <c r="R36" s="172"/>
      <c r="S36" s="172"/>
      <c r="T36" s="172"/>
      <c r="U36" s="172"/>
    </row>
    <row r="37" spans="1:21" ht="14.25" customHeight="1" x14ac:dyDescent="0.2">
      <c r="A37" s="237"/>
      <c r="B37" s="440"/>
      <c r="C37" s="440"/>
      <c r="D37" s="440"/>
      <c r="E37" s="295"/>
      <c r="F37" s="295"/>
      <c r="I37" s="266"/>
      <c r="J37" s="266"/>
      <c r="K37" s="266"/>
      <c r="L37" s="266"/>
      <c r="M37" s="266"/>
      <c r="N37" s="266"/>
      <c r="P37" s="172"/>
      <c r="Q37" s="172"/>
      <c r="R37" s="172"/>
      <c r="S37" s="172"/>
      <c r="T37" s="172"/>
      <c r="U37" s="172"/>
    </row>
    <row r="38" spans="1:21" ht="14.25" customHeight="1" x14ac:dyDescent="0.2">
      <c r="A38" s="237"/>
      <c r="B38" s="440"/>
      <c r="C38" s="440"/>
      <c r="D38" s="440"/>
      <c r="E38" s="295"/>
      <c r="F38" s="295"/>
      <c r="I38" s="266"/>
      <c r="J38" s="266"/>
      <c r="K38" s="266"/>
      <c r="L38" s="266"/>
      <c r="M38" s="266"/>
      <c r="N38" s="266"/>
      <c r="P38" s="172"/>
      <c r="Q38" s="172"/>
      <c r="R38" s="172"/>
      <c r="S38" s="172"/>
      <c r="T38" s="172"/>
      <c r="U38" s="172"/>
    </row>
    <row r="39" spans="1:21" ht="181.5" customHeight="1" x14ac:dyDescent="0.2">
      <c r="A39" s="237"/>
      <c r="B39" s="440"/>
      <c r="C39" s="440"/>
      <c r="D39" s="440"/>
      <c r="E39" s="295"/>
      <c r="F39" s="295"/>
      <c r="I39" s="266"/>
      <c r="J39" s="266"/>
      <c r="K39" s="266"/>
      <c r="L39" s="266"/>
      <c r="M39" s="266"/>
      <c r="N39" s="266"/>
      <c r="P39" s="172"/>
      <c r="Q39" s="172"/>
      <c r="R39" s="172"/>
      <c r="S39" s="172"/>
      <c r="T39" s="172"/>
      <c r="U39" s="172"/>
    </row>
    <row r="40" spans="1:21" ht="14.25" customHeight="1" x14ac:dyDescent="0.2">
      <c r="A40" s="185"/>
      <c r="B40" s="235"/>
      <c r="C40" s="235"/>
      <c r="D40" s="235"/>
      <c r="E40" s="235"/>
      <c r="F40" s="295"/>
      <c r="P40" s="172"/>
      <c r="Q40" s="172"/>
      <c r="R40" s="172"/>
      <c r="S40" s="172"/>
      <c r="T40" s="172"/>
      <c r="U40" s="172"/>
    </row>
    <row r="41" spans="1:21" ht="14.25" customHeight="1" x14ac:dyDescent="0.2">
      <c r="B41" s="188" t="s">
        <v>113</v>
      </c>
      <c r="C41" s="188"/>
      <c r="D41" s="187" t="s">
        <v>114</v>
      </c>
      <c r="E41" s="187"/>
      <c r="F41" s="295"/>
    </row>
    <row r="42" spans="1:21" ht="14.25" customHeight="1" x14ac:dyDescent="0.2">
      <c r="B42" s="430"/>
      <c r="C42" s="430"/>
      <c r="D42" s="190"/>
      <c r="E42" s="190"/>
      <c r="F42" s="295"/>
    </row>
    <row r="43" spans="1:21" ht="14.25" customHeight="1" x14ac:dyDescent="0.2">
      <c r="B43" s="430" t="s">
        <v>11</v>
      </c>
      <c r="C43" s="430"/>
      <c r="D43" s="187" t="s">
        <v>12</v>
      </c>
      <c r="E43" s="187"/>
      <c r="F43" s="295"/>
    </row>
    <row r="44" spans="1:21" ht="14.25" customHeight="1" x14ac:dyDescent="0.2">
      <c r="B44" s="430"/>
      <c r="C44" s="430"/>
      <c r="D44" s="190"/>
      <c r="E44" s="190"/>
      <c r="F44" s="295"/>
    </row>
    <row r="45" spans="1:21" ht="14.25" customHeight="1" x14ac:dyDescent="0.2">
      <c r="B45" s="430" t="s">
        <v>13</v>
      </c>
      <c r="C45" s="430"/>
      <c r="D45" s="190"/>
      <c r="E45" s="190"/>
      <c r="F45" s="295"/>
    </row>
    <row r="46" spans="1:21" ht="30.75" customHeight="1" x14ac:dyDescent="0.2">
      <c r="B46" s="430" t="s">
        <v>115</v>
      </c>
      <c r="C46" s="430"/>
      <c r="D46" s="187" t="s">
        <v>28</v>
      </c>
      <c r="E46" s="187"/>
      <c r="F46" s="295"/>
    </row>
    <row r="47" spans="1:21" ht="18" customHeight="1" x14ac:dyDescent="0.2">
      <c r="B47" s="189"/>
      <c r="C47" s="189"/>
      <c r="D47" s="189"/>
      <c r="E47" s="294"/>
      <c r="F47" s="295"/>
    </row>
    <row r="48" spans="1:21" ht="17.25" customHeight="1" x14ac:dyDescent="0.2">
      <c r="A48" s="178"/>
      <c r="B48" s="178"/>
      <c r="C48" s="178"/>
      <c r="D48" s="178"/>
      <c r="E48" s="178"/>
      <c r="F48" s="295"/>
    </row>
    <row r="49" spans="2:37" ht="30.75" customHeight="1" x14ac:dyDescent="0.2">
      <c r="B49" s="189"/>
      <c r="C49" s="189"/>
      <c r="D49" s="189"/>
      <c r="E49" s="294"/>
      <c r="F49" s="246"/>
      <c r="G49" s="187"/>
      <c r="H49" s="187"/>
      <c r="I49" s="187"/>
      <c r="J49" s="187"/>
    </row>
    <row r="53" spans="2:37" ht="14.25" customHeight="1" x14ac:dyDescent="0.2">
      <c r="B53" s="105" t="s">
        <v>150</v>
      </c>
    </row>
    <row r="54" spans="2:37" ht="14.25" customHeight="1" x14ac:dyDescent="0.2">
      <c r="B54" s="105">
        <v>1</v>
      </c>
      <c r="C54" s="105" t="s">
        <v>4</v>
      </c>
    </row>
    <row r="55" spans="2:37" ht="14.25" customHeight="1" x14ac:dyDescent="0.2">
      <c r="C55" s="105" t="s">
        <v>5</v>
      </c>
      <c r="J55" s="170"/>
      <c r="K55" s="170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 t="e">
        <f>#REF!-L55</f>
        <v>#REF!</v>
      </c>
      <c r="AJ55" s="105" t="e">
        <f>#REF!*0.2</f>
        <v>#REF!</v>
      </c>
      <c r="AK55" s="172"/>
    </row>
    <row r="56" spans="2:37" ht="14.25" customHeight="1" x14ac:dyDescent="0.2">
      <c r="C56" s="105" t="s">
        <v>6</v>
      </c>
      <c r="J56" s="170"/>
      <c r="K56" s="170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 t="e">
        <f>#REF!-L56</f>
        <v>#REF!</v>
      </c>
      <c r="AJ56" s="105" t="e">
        <f>#REF!*0.2</f>
        <v>#REF!</v>
      </c>
      <c r="AK56" s="172"/>
    </row>
    <row r="57" spans="2:37" ht="14.25" customHeight="1" x14ac:dyDescent="0.2">
      <c r="C57" s="105" t="s">
        <v>7</v>
      </c>
      <c r="J57" s="170"/>
      <c r="K57" s="170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 t="e">
        <f>#REF!-L57</f>
        <v>#REF!</v>
      </c>
      <c r="AJ57" s="105" t="e">
        <f>#REF!*0.2</f>
        <v>#REF!</v>
      </c>
      <c r="AK57" s="172"/>
    </row>
    <row r="58" spans="2:37" ht="14.25" customHeight="1" x14ac:dyDescent="0.2">
      <c r="C58" s="105" t="s">
        <v>8</v>
      </c>
      <c r="J58" s="170"/>
      <c r="K58" s="170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 t="e">
        <f>#REF!-L58</f>
        <v>#REF!</v>
      </c>
      <c r="AJ58" s="105" t="e">
        <f>#REF!*0.2</f>
        <v>#REF!</v>
      </c>
      <c r="AK58" s="172"/>
    </row>
    <row r="59" spans="2:37" ht="14.25" customHeight="1" x14ac:dyDescent="0.2">
      <c r="B59" s="105">
        <v>2</v>
      </c>
      <c r="C59" s="105" t="s">
        <v>9</v>
      </c>
      <c r="J59" s="170"/>
      <c r="K59" s="170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 t="e">
        <f>#REF!-L59</f>
        <v>#REF!</v>
      </c>
      <c r="AJ59" s="105" t="e">
        <f>#REF!*0.2</f>
        <v>#REF!</v>
      </c>
      <c r="AK59" s="172"/>
    </row>
    <row r="60" spans="2:37" ht="14.25" customHeight="1" x14ac:dyDescent="0.2">
      <c r="C60" s="105" t="s">
        <v>5</v>
      </c>
      <c r="J60" s="170"/>
      <c r="K60" s="170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 t="e">
        <f>#REF!-L60</f>
        <v>#REF!</v>
      </c>
      <c r="AJ60" s="105" t="e">
        <f>#REF!*0.2</f>
        <v>#REF!</v>
      </c>
      <c r="AK60" s="172"/>
    </row>
    <row r="61" spans="2:37" ht="14.25" customHeight="1" x14ac:dyDescent="0.2">
      <c r="C61" s="105" t="s">
        <v>6</v>
      </c>
      <c r="J61" s="170"/>
      <c r="K61" s="170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 t="e">
        <f>#REF!-L61</f>
        <v>#REF!</v>
      </c>
      <c r="AJ61" s="105" t="e">
        <f>#REF!*0.2</f>
        <v>#REF!</v>
      </c>
      <c r="AK61" s="172"/>
    </row>
    <row r="62" spans="2:37" ht="14.25" customHeight="1" x14ac:dyDescent="0.2">
      <c r="C62" s="105" t="s">
        <v>7</v>
      </c>
      <c r="J62" s="170"/>
      <c r="K62" s="170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 t="e">
        <f>#REF!-L62</f>
        <v>#REF!</v>
      </c>
      <c r="AJ62" s="105" t="e">
        <f>#REF!*0.2</f>
        <v>#REF!</v>
      </c>
      <c r="AK62" s="172"/>
    </row>
    <row r="63" spans="2:37" ht="14.25" customHeight="1" x14ac:dyDescent="0.2">
      <c r="C63" s="105" t="s">
        <v>8</v>
      </c>
      <c r="J63" s="170"/>
      <c r="K63" s="170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 t="e">
        <f>#REF!-L63</f>
        <v>#REF!</v>
      </c>
      <c r="AJ63" s="105" t="e">
        <f>#REF!*0.2</f>
        <v>#REF!</v>
      </c>
      <c r="AK63" s="172"/>
    </row>
    <row r="64" spans="2:37" ht="14.25" customHeight="1" x14ac:dyDescent="0.2">
      <c r="B64" s="105">
        <v>3</v>
      </c>
      <c r="C64" s="105" t="s">
        <v>10</v>
      </c>
      <c r="J64" s="170"/>
      <c r="K64" s="170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 t="e">
        <f>#REF!-L64</f>
        <v>#REF!</v>
      </c>
      <c r="AJ64" s="105" t="e">
        <f>#REF!*0.2</f>
        <v>#REF!</v>
      </c>
      <c r="AK64" s="172"/>
    </row>
    <row r="65" spans="2:37" ht="14.25" customHeight="1" x14ac:dyDescent="0.2">
      <c r="C65" s="105" t="s">
        <v>5</v>
      </c>
      <c r="J65" s="170"/>
      <c r="K65" s="170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 t="e">
        <f>#REF!-L65</f>
        <v>#REF!</v>
      </c>
      <c r="AJ65" s="105" t="e">
        <f>#REF!*0.2</f>
        <v>#REF!</v>
      </c>
      <c r="AK65" s="172"/>
    </row>
    <row r="66" spans="2:37" ht="14.25" customHeight="1" x14ac:dyDescent="0.2">
      <c r="C66" s="105" t="s">
        <v>6</v>
      </c>
      <c r="J66" s="170"/>
      <c r="K66" s="170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 t="e">
        <f>#REF!-L66</f>
        <v>#REF!</v>
      </c>
      <c r="AJ66" s="105" t="e">
        <f>#REF!*0.2</f>
        <v>#REF!</v>
      </c>
      <c r="AK66" s="172"/>
    </row>
    <row r="67" spans="2:37" ht="14.25" customHeight="1" x14ac:dyDescent="0.2">
      <c r="C67" s="105" t="s">
        <v>7</v>
      </c>
      <c r="J67" s="170"/>
      <c r="K67" s="170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 t="e">
        <f>#REF!-L67</f>
        <v>#REF!</v>
      </c>
      <c r="AJ67" s="105" t="e">
        <f>#REF!*0.2</f>
        <v>#REF!</v>
      </c>
      <c r="AK67" s="172"/>
    </row>
    <row r="68" spans="2:37" ht="14.25" customHeight="1" x14ac:dyDescent="0.2">
      <c r="C68" s="105" t="s">
        <v>8</v>
      </c>
      <c r="J68" s="170"/>
      <c r="K68" s="170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 t="e">
        <f>#REF!-L68</f>
        <v>#REF!</v>
      </c>
      <c r="AJ68" s="105" t="e">
        <f>#REF!*0.2</f>
        <v>#REF!</v>
      </c>
      <c r="AK68" s="172"/>
    </row>
    <row r="69" spans="2:37" ht="14.25" customHeight="1" x14ac:dyDescent="0.2">
      <c r="B69" s="105">
        <v>4</v>
      </c>
      <c r="C69" s="105" t="s">
        <v>83</v>
      </c>
      <c r="J69" s="170"/>
      <c r="K69" s="170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 t="e">
        <f>#REF!-L69</f>
        <v>#REF!</v>
      </c>
      <c r="AJ69" s="105" t="e">
        <f>#REF!*0.2</f>
        <v>#REF!</v>
      </c>
      <c r="AK69" s="172"/>
    </row>
    <row r="70" spans="2:37" ht="14.25" customHeight="1" x14ac:dyDescent="0.2">
      <c r="C70" s="105" t="s">
        <v>84</v>
      </c>
      <c r="J70" s="170"/>
      <c r="K70" s="170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 t="e">
        <f>#REF!-L70</f>
        <v>#REF!</v>
      </c>
      <c r="AJ70" s="105" t="e">
        <f>#REF!*0.2</f>
        <v>#REF!</v>
      </c>
      <c r="AK70" s="172"/>
    </row>
    <row r="71" spans="2:37" ht="14.25" customHeight="1" x14ac:dyDescent="0.2">
      <c r="C71" s="105" t="s">
        <v>85</v>
      </c>
      <c r="J71" s="170"/>
      <c r="K71" s="170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 t="e">
        <f>#REF!-L71</f>
        <v>#REF!</v>
      </c>
      <c r="AJ71" s="105" t="e">
        <f>#REF!*0.2</f>
        <v>#REF!</v>
      </c>
      <c r="AK71" s="172"/>
    </row>
    <row r="72" spans="2:37" ht="14.25" customHeight="1" x14ac:dyDescent="0.2">
      <c r="B72" s="105">
        <v>5</v>
      </c>
      <c r="C72" s="105" t="s">
        <v>86</v>
      </c>
      <c r="J72" s="170"/>
      <c r="K72" s="170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 t="e">
        <f>#REF!-L72</f>
        <v>#REF!</v>
      </c>
      <c r="AJ72" s="105" t="e">
        <f>#REF!*0.2</f>
        <v>#REF!</v>
      </c>
      <c r="AK72" s="172"/>
    </row>
  </sheetData>
  <mergeCells count="21">
    <mergeCell ref="C1:D1"/>
    <mergeCell ref="C2:D2"/>
    <mergeCell ref="AH2:AJ2"/>
    <mergeCell ref="B46:C46"/>
    <mergeCell ref="B42:C42"/>
    <mergeCell ref="B43:C43"/>
    <mergeCell ref="B44:C44"/>
    <mergeCell ref="B45:C45"/>
    <mergeCell ref="C10:D10"/>
    <mergeCell ref="C11:D11"/>
    <mergeCell ref="C12:D12"/>
    <mergeCell ref="B10:B13"/>
    <mergeCell ref="C13:D13"/>
    <mergeCell ref="A8:D8"/>
    <mergeCell ref="A9:D9"/>
    <mergeCell ref="B35:D39"/>
    <mergeCell ref="C3:D3"/>
    <mergeCell ref="A6:D6"/>
    <mergeCell ref="A5:D5"/>
    <mergeCell ref="A7:D7"/>
    <mergeCell ref="A10:A13"/>
  </mergeCells>
  <pageMargins left="0.25" right="0.25" top="0.75" bottom="0.75" header="0.3" footer="0.3"/>
  <pageSetup paperSize="9" scale="69" fitToHeight="0" orientation="portrait" r:id="rId1"/>
  <rowBreaks count="1" manualBreakCount="1">
    <brk id="49" max="16383" man="1"/>
  </rowBreaks>
  <colBreaks count="1" manualBreakCount="1">
    <brk id="10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"/>
  <sheetViews>
    <sheetView view="pageBreakPreview" zoomScale="60" zoomScaleNormal="60" workbookViewId="0">
      <selection activeCell="C17" sqref="C17"/>
    </sheetView>
  </sheetViews>
  <sheetFormatPr defaultColWidth="9.140625" defaultRowHeight="14.25" x14ac:dyDescent="0.2"/>
  <cols>
    <col min="1" max="1" width="4.5703125" style="105" customWidth="1"/>
    <col min="2" max="2" width="75.42578125" style="105" customWidth="1"/>
    <col min="3" max="3" width="19.7109375" style="105" customWidth="1"/>
    <col min="4" max="4" width="22.7109375" style="105" customWidth="1"/>
    <col min="5" max="5" width="15.85546875" style="105" customWidth="1"/>
    <col min="6" max="6" width="17.85546875" style="105" customWidth="1"/>
    <col min="7" max="7" width="15.7109375" style="105" customWidth="1"/>
    <col min="8" max="8" width="16.85546875" style="105" customWidth="1"/>
    <col min="9" max="9" width="16.140625" style="105" hidden="1" customWidth="1"/>
    <col min="10" max="10" width="17.42578125" style="105" hidden="1" customWidth="1"/>
    <col min="11" max="11" width="17.28515625" style="105" hidden="1" customWidth="1"/>
    <col min="12" max="12" width="5.42578125" style="105" hidden="1" customWidth="1"/>
    <col min="13" max="13" width="8.85546875" style="105" customWidth="1"/>
    <col min="14" max="14" width="14" style="105" customWidth="1"/>
    <col min="15" max="15" width="11.85546875" style="105" customWidth="1"/>
    <col min="16" max="16" width="12.7109375" style="105" customWidth="1"/>
    <col min="17" max="17" width="11.7109375" style="105" customWidth="1"/>
    <col min="18" max="18" width="9.42578125" style="105" customWidth="1"/>
    <col min="19" max="19" width="16" style="105" customWidth="1"/>
    <col min="20" max="20" width="13.85546875" style="105" customWidth="1"/>
    <col min="21" max="21" width="14.85546875" style="105" customWidth="1"/>
    <col min="22" max="16384" width="9.140625" style="105"/>
  </cols>
  <sheetData>
    <row r="1" spans="1:19" ht="15" x14ac:dyDescent="0.25">
      <c r="A1" s="174" t="s">
        <v>17</v>
      </c>
      <c r="B1" s="175"/>
      <c r="C1" s="427" t="s">
        <v>0</v>
      </c>
      <c r="D1" s="427"/>
      <c r="E1" s="176"/>
      <c r="F1" s="176"/>
      <c r="G1" s="427"/>
      <c r="H1" s="427"/>
      <c r="I1" s="176"/>
      <c r="J1" s="175"/>
      <c r="K1" s="175"/>
      <c r="L1" s="175"/>
      <c r="M1" s="175"/>
      <c r="N1" s="175"/>
      <c r="O1" s="176"/>
      <c r="P1" s="175"/>
      <c r="Q1" s="175"/>
      <c r="R1" s="175"/>
      <c r="S1" s="175"/>
    </row>
    <row r="2" spans="1:19" ht="41.25" customHeight="1" x14ac:dyDescent="0.2">
      <c r="A2" s="177" t="s">
        <v>16</v>
      </c>
      <c r="B2" s="178"/>
      <c r="C2" s="428" t="s">
        <v>34</v>
      </c>
      <c r="D2" s="428"/>
      <c r="G2" s="428"/>
      <c r="H2" s="428"/>
      <c r="I2" s="422"/>
      <c r="J2" s="422"/>
      <c r="K2" s="422"/>
      <c r="L2" s="422"/>
      <c r="M2" s="422"/>
      <c r="N2" s="422"/>
      <c r="O2" s="429"/>
      <c r="P2" s="429"/>
      <c r="Q2" s="429"/>
      <c r="R2" s="178"/>
      <c r="S2" s="178"/>
    </row>
    <row r="3" spans="1:19" x14ac:dyDescent="0.2">
      <c r="B3" s="175"/>
      <c r="C3" s="264"/>
      <c r="D3" s="264"/>
      <c r="E3" s="179"/>
      <c r="F3" s="179"/>
    </row>
    <row r="4" spans="1:19" x14ac:dyDescent="0.2">
      <c r="A4" s="105" t="s">
        <v>18</v>
      </c>
      <c r="B4" s="175"/>
      <c r="C4" s="441" t="s">
        <v>162</v>
      </c>
      <c r="D4" s="441"/>
      <c r="E4" s="179"/>
      <c r="F4" s="179"/>
      <c r="G4" s="179"/>
      <c r="H4" s="179"/>
      <c r="O4" s="104"/>
    </row>
    <row r="5" spans="1:19" x14ac:dyDescent="0.2">
      <c r="C5" s="180"/>
      <c r="D5" s="180"/>
      <c r="E5" s="104"/>
      <c r="F5" s="104"/>
      <c r="G5" s="104"/>
      <c r="H5" s="104"/>
    </row>
    <row r="6" spans="1:19" ht="15" x14ac:dyDescent="0.25">
      <c r="A6" s="350" t="s">
        <v>116</v>
      </c>
      <c r="B6" s="350"/>
      <c r="C6" s="350"/>
      <c r="D6" s="350"/>
      <c r="E6" s="176"/>
      <c r="F6" s="176"/>
      <c r="G6" s="176"/>
      <c r="H6" s="176"/>
      <c r="I6" s="176"/>
      <c r="J6" s="176"/>
      <c r="K6" s="176"/>
      <c r="L6" s="176"/>
      <c r="M6" s="176"/>
      <c r="N6" s="176"/>
    </row>
    <row r="7" spans="1:19" ht="15" x14ac:dyDescent="0.25">
      <c r="A7" s="350" t="s">
        <v>155</v>
      </c>
      <c r="B7" s="350"/>
      <c r="C7" s="350"/>
      <c r="D7" s="350"/>
      <c r="E7" s="176"/>
      <c r="F7" s="176"/>
      <c r="G7" s="176"/>
      <c r="H7" s="176"/>
      <c r="I7" s="176"/>
      <c r="J7" s="176"/>
      <c r="K7" s="176"/>
      <c r="L7" s="176"/>
      <c r="M7" s="176"/>
      <c r="N7" s="176"/>
    </row>
    <row r="8" spans="1:19" ht="15.75" customHeight="1" x14ac:dyDescent="0.25">
      <c r="A8" s="357" t="s">
        <v>147</v>
      </c>
      <c r="B8" s="357"/>
      <c r="C8" s="357"/>
      <c r="D8" s="357"/>
      <c r="E8" s="181"/>
      <c r="F8" s="181"/>
      <c r="G8" s="181"/>
      <c r="H8" s="181"/>
      <c r="I8" s="181"/>
      <c r="J8" s="181"/>
      <c r="K8" s="181"/>
      <c r="L8" s="181"/>
      <c r="M8" s="181"/>
      <c r="N8" s="181"/>
    </row>
    <row r="9" spans="1:19" ht="15" customHeight="1" x14ac:dyDescent="0.25">
      <c r="A9" s="357" t="s">
        <v>149</v>
      </c>
      <c r="B9" s="357"/>
      <c r="C9" s="357"/>
      <c r="D9" s="357"/>
      <c r="E9" s="181"/>
      <c r="F9" s="181"/>
      <c r="G9" s="181"/>
      <c r="H9" s="181"/>
    </row>
    <row r="10" spans="1:19" x14ac:dyDescent="0.2">
      <c r="A10" s="439" t="s">
        <v>171</v>
      </c>
      <c r="B10" s="439"/>
      <c r="C10" s="439"/>
      <c r="D10" s="439"/>
      <c r="E10" s="221"/>
      <c r="F10" s="221"/>
      <c r="G10" s="221"/>
      <c r="H10" s="221"/>
      <c r="I10" s="182"/>
      <c r="J10" s="182"/>
      <c r="K10" s="182"/>
      <c r="L10" s="182"/>
      <c r="M10" s="182"/>
      <c r="N10" s="182"/>
      <c r="O10" s="182"/>
      <c r="P10" s="182"/>
      <c r="Q10" s="182"/>
    </row>
    <row r="11" spans="1:19" ht="30.75" customHeight="1" x14ac:dyDescent="0.2">
      <c r="A11" s="378" t="s">
        <v>3</v>
      </c>
      <c r="B11" s="381" t="s">
        <v>29</v>
      </c>
      <c r="C11" s="431" t="s">
        <v>158</v>
      </c>
      <c r="D11" s="432"/>
      <c r="F11" s="172">
        <f>'оздоровительные программы 2018'!E17*0.2</f>
        <v>1876</v>
      </c>
      <c r="G11" s="172"/>
      <c r="H11" s="172"/>
    </row>
    <row r="12" spans="1:19" ht="26.25" customHeight="1" x14ac:dyDescent="0.2">
      <c r="A12" s="379"/>
      <c r="B12" s="382"/>
      <c r="C12" s="442" t="s">
        <v>157</v>
      </c>
      <c r="D12" s="443"/>
      <c r="F12" s="172"/>
      <c r="G12" s="172"/>
      <c r="H12" s="172"/>
    </row>
    <row r="13" spans="1:19" ht="30" customHeight="1" x14ac:dyDescent="0.2">
      <c r="A13" s="379"/>
      <c r="B13" s="382"/>
      <c r="C13" s="435" t="s">
        <v>156</v>
      </c>
      <c r="D13" s="436"/>
      <c r="F13" s="172"/>
      <c r="H13" s="172"/>
    </row>
    <row r="14" spans="1:19" ht="24.6" customHeight="1" x14ac:dyDescent="0.2">
      <c r="A14" s="380"/>
      <c r="B14" s="383"/>
      <c r="C14" s="437" t="s">
        <v>148</v>
      </c>
      <c r="D14" s="438"/>
    </row>
    <row r="15" spans="1:19" ht="46.9" customHeight="1" x14ac:dyDescent="0.2">
      <c r="A15" s="168"/>
      <c r="B15" s="166"/>
      <c r="C15" s="167" t="s">
        <v>151</v>
      </c>
      <c r="D15" s="167" t="s">
        <v>152</v>
      </c>
    </row>
    <row r="16" spans="1:19" ht="30" customHeight="1" x14ac:dyDescent="0.25">
      <c r="A16" s="25">
        <v>1</v>
      </c>
      <c r="B16" s="261" t="s">
        <v>4</v>
      </c>
      <c r="C16" s="262"/>
      <c r="D16" s="262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</row>
    <row r="17" spans="1:18" x14ac:dyDescent="0.2">
      <c r="A17" s="36"/>
      <c r="B17" s="192" t="s">
        <v>5</v>
      </c>
      <c r="C17" s="194">
        <f>$F$11/'прейс озд прог.Монди 0,2'!C16</f>
        <v>0.391812865497076</v>
      </c>
      <c r="D17" s="194">
        <f>$F$11/'прейс озд прог.Монди 0,2'!D16</f>
        <v>0.36662106703146374</v>
      </c>
      <c r="E17" s="267"/>
      <c r="F17" s="172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</row>
    <row r="18" spans="1:18" x14ac:dyDescent="0.2">
      <c r="A18" s="36"/>
      <c r="B18" s="192" t="s">
        <v>6</v>
      </c>
      <c r="C18" s="194">
        <f>$F$11/'прейс озд прог.Монди 0,2'!C17</f>
        <v>0.42948717948717946</v>
      </c>
      <c r="D18" s="194">
        <f>$F$11/'прейс озд прог.Монди 0,2'!D17</f>
        <v>0.39940387481371087</v>
      </c>
      <c r="E18" s="170"/>
      <c r="F18" s="172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</row>
    <row r="19" spans="1:18" hidden="1" x14ac:dyDescent="0.2">
      <c r="A19" s="36"/>
      <c r="B19" s="192" t="s">
        <v>7</v>
      </c>
      <c r="C19" s="194">
        <f>$F$11/'прейс озд прог.Монди 0,2'!C18</f>
        <v>0.46206896551724136</v>
      </c>
      <c r="D19" s="194">
        <f>$F$11/'прейс озд прог.Монди 0,2'!D18</f>
        <v>0.42733485193621867</v>
      </c>
      <c r="F19" s="172"/>
      <c r="G19" s="170"/>
      <c r="H19" s="170"/>
      <c r="I19" s="170"/>
    </row>
    <row r="20" spans="1:18" x14ac:dyDescent="0.2">
      <c r="A20" s="27"/>
      <c r="B20" s="193" t="s">
        <v>8</v>
      </c>
      <c r="C20" s="194">
        <f>$F$11/'прейс озд прог.Монди 0,2'!C19</f>
        <v>0.18157181571815717</v>
      </c>
      <c r="D20" s="194">
        <f>$F$11/'прейс озд прог.Монди 0,2'!D19</f>
        <v>0.17596848325673015</v>
      </c>
      <c r="E20" s="104"/>
      <c r="F20" s="172"/>
      <c r="G20" s="170"/>
      <c r="H20" s="170"/>
      <c r="I20" s="170"/>
    </row>
    <row r="21" spans="1:18" ht="30" customHeight="1" x14ac:dyDescent="0.25">
      <c r="A21" s="25">
        <v>2</v>
      </c>
      <c r="B21" s="261" t="s">
        <v>9</v>
      </c>
      <c r="C21" s="262"/>
      <c r="D21" s="262"/>
      <c r="E21" s="104"/>
      <c r="F21" s="172"/>
      <c r="G21" s="170"/>
      <c r="H21" s="170"/>
      <c r="I21" s="170"/>
    </row>
    <row r="22" spans="1:18" x14ac:dyDescent="0.2">
      <c r="A22" s="36"/>
      <c r="B22" s="192" t="s">
        <v>5</v>
      </c>
      <c r="C22" s="194">
        <f>$F$11/'прейс озд прог.Монди 0,2'!C21</f>
        <v>0.35638297872340424</v>
      </c>
      <c r="D22" s="194">
        <f>$F$11/'прейс озд прог.Монди 0,2'!D21</f>
        <v>0.33541927409261579</v>
      </c>
      <c r="E22" s="101"/>
      <c r="F22" s="172"/>
      <c r="G22" s="170"/>
      <c r="H22" s="170"/>
      <c r="I22" s="170"/>
    </row>
    <row r="23" spans="1:18" x14ac:dyDescent="0.2">
      <c r="A23" s="36"/>
      <c r="B23" s="192" t="s">
        <v>6</v>
      </c>
      <c r="C23" s="194">
        <f>$F$11/'прейс озд прог.Монди 0,2'!C22</f>
        <v>0.38728323699421963</v>
      </c>
      <c r="D23" s="194">
        <f>$F$11/'прейс озд прог.Монди 0,2'!D22</f>
        <v>0.36265223274695535</v>
      </c>
      <c r="E23" s="104"/>
      <c r="F23" s="172"/>
      <c r="G23" s="170"/>
      <c r="H23" s="170"/>
      <c r="I23" s="170"/>
    </row>
    <row r="24" spans="1:18" hidden="1" x14ac:dyDescent="0.2">
      <c r="A24" s="36"/>
      <c r="B24" s="192" t="s">
        <v>7</v>
      </c>
      <c r="C24" s="194">
        <f>$F$11/'прейс озд прог.Монди 0,2'!C23</f>
        <v>0.41358024691358025</v>
      </c>
      <c r="D24" s="194">
        <f>$F$11/'прейс озд прог.Монди 0,2'!D23</f>
        <v>0.38553226469379365</v>
      </c>
      <c r="E24" s="104"/>
      <c r="F24" s="172"/>
      <c r="G24" s="170"/>
      <c r="H24" s="170"/>
      <c r="I24" s="170"/>
    </row>
    <row r="25" spans="1:18" x14ac:dyDescent="0.2">
      <c r="A25" s="27"/>
      <c r="B25" s="193" t="s">
        <v>8</v>
      </c>
      <c r="C25" s="194">
        <f>$F$11/'прейс озд прог.Монди 0,2'!C24</f>
        <v>0.17357512953367876</v>
      </c>
      <c r="D25" s="194">
        <f>$F$11/'прейс озд прог.Монди 0,2'!D24</f>
        <v>0.16844751728472659</v>
      </c>
      <c r="E25" s="104"/>
      <c r="F25" s="172"/>
      <c r="G25" s="170"/>
      <c r="H25" s="170"/>
      <c r="I25" s="170"/>
    </row>
    <row r="26" spans="1:18" ht="30" customHeight="1" x14ac:dyDescent="0.25">
      <c r="A26" s="25">
        <v>3</v>
      </c>
      <c r="B26" s="261" t="s">
        <v>10</v>
      </c>
      <c r="C26" s="262"/>
      <c r="D26" s="262"/>
      <c r="F26" s="172"/>
      <c r="G26" s="170"/>
      <c r="H26" s="170"/>
      <c r="I26" s="170"/>
    </row>
    <row r="27" spans="1:18" x14ac:dyDescent="0.2">
      <c r="A27" s="36"/>
      <c r="B27" s="192" t="s">
        <v>5</v>
      </c>
      <c r="C27" s="194">
        <f>$F$11/'прейс озд прог.Монди 0,2'!C26</f>
        <v>0.33333333333333331</v>
      </c>
      <c r="D27" s="194">
        <f>$F$11/'прейс озд прог.Монди 0,2'!D26</f>
        <v>0.31492361927144535</v>
      </c>
      <c r="F27" s="172"/>
      <c r="G27" s="170"/>
      <c r="H27" s="170"/>
      <c r="I27" s="170"/>
    </row>
    <row r="28" spans="1:18" x14ac:dyDescent="0.2">
      <c r="A28" s="36"/>
      <c r="B28" s="192" t="s">
        <v>6</v>
      </c>
      <c r="C28" s="194">
        <f>$F$11/'прейс озд прог.Монди 0,2'!C27</f>
        <v>0.36021505376344087</v>
      </c>
      <c r="D28" s="194">
        <f>$F$11/'прейс озд прог.Монди 0,2'!D27</f>
        <v>0.33881163084702909</v>
      </c>
      <c r="F28" s="172"/>
      <c r="G28" s="170"/>
      <c r="H28" s="170"/>
      <c r="I28" s="170"/>
    </row>
    <row r="29" spans="1:18" hidden="1" x14ac:dyDescent="0.2">
      <c r="A29" s="36"/>
      <c r="B29" s="192" t="s">
        <v>7</v>
      </c>
      <c r="C29" s="194">
        <f>$F$11/'прейс озд прог.Монди 0,2'!C28</f>
        <v>0.38285714285714284</v>
      </c>
      <c r="D29" s="194">
        <f>$F$11/'прейс озд прог.Монди 0,2'!D28</f>
        <v>0.35869980879541108</v>
      </c>
      <c r="F29" s="172"/>
      <c r="G29" s="170"/>
      <c r="H29" s="170"/>
      <c r="I29" s="170"/>
    </row>
    <row r="30" spans="1:18" x14ac:dyDescent="0.2">
      <c r="A30" s="27"/>
      <c r="B30" s="193" t="s">
        <v>8</v>
      </c>
      <c r="C30" s="194">
        <f>$F$11/'прейс озд прог.Монди 0,2'!C29</f>
        <v>0.16791979949874686</v>
      </c>
      <c r="D30" s="194">
        <f>$F$11/'прейс озд прог.Монди 0,2'!D29</f>
        <v>0.16311625076080341</v>
      </c>
      <c r="F30" s="172"/>
      <c r="G30" s="170"/>
      <c r="H30" s="170"/>
      <c r="I30" s="170"/>
    </row>
    <row r="31" spans="1:18" ht="27.75" customHeight="1" x14ac:dyDescent="0.25">
      <c r="A31" s="110">
        <v>4</v>
      </c>
      <c r="B31" s="261" t="s">
        <v>83</v>
      </c>
      <c r="C31" s="262"/>
      <c r="D31" s="262"/>
      <c r="F31" s="172"/>
      <c r="G31" s="170"/>
      <c r="H31" s="170"/>
      <c r="I31" s="170"/>
    </row>
    <row r="32" spans="1:18" x14ac:dyDescent="0.2">
      <c r="A32" s="27"/>
      <c r="B32" s="193" t="s">
        <v>84</v>
      </c>
      <c r="C32" s="195">
        <f>$F$11/'прейс озд прог.Монди 0,2'!C31</f>
        <v>0.56779661016949157</v>
      </c>
      <c r="D32" s="195">
        <f>$F$11/'прейс озд прог.Монди 0,2'!D31</f>
        <v>0.51637764932562624</v>
      </c>
      <c r="F32" s="172"/>
      <c r="G32" s="170"/>
      <c r="H32" s="170"/>
      <c r="I32" s="170"/>
    </row>
    <row r="33" spans="1:18" x14ac:dyDescent="0.2">
      <c r="A33" s="108"/>
      <c r="B33" s="193" t="s">
        <v>85</v>
      </c>
      <c r="C33" s="195">
        <f>$F$11/'прейс озд прог.Монди 0,2'!C32</f>
        <v>0.49629629629629629</v>
      </c>
      <c r="D33" s="195">
        <f>$F$11/'прейс озд прог.Монди 0,2'!D32</f>
        <v>0.45655877342419082</v>
      </c>
      <c r="F33" s="172"/>
      <c r="G33" s="170"/>
      <c r="H33" s="170"/>
      <c r="I33" s="170"/>
    </row>
    <row r="34" spans="1:18" x14ac:dyDescent="0.2">
      <c r="A34" s="108"/>
      <c r="B34" s="193" t="s">
        <v>86</v>
      </c>
      <c r="C34" s="195">
        <f>$F$11/'прейс озд прог.Монди 0,2'!C33</f>
        <v>0.68367346938775508</v>
      </c>
      <c r="D34" s="195">
        <f>$F$11/'прейс озд прог.Монди 0,2'!D33</f>
        <v>0.61047835990888377</v>
      </c>
      <c r="E34" s="183"/>
      <c r="F34" s="184"/>
      <c r="G34" s="170"/>
      <c r="H34" s="170"/>
      <c r="I34" s="170"/>
    </row>
    <row r="35" spans="1:18" x14ac:dyDescent="0.2">
      <c r="A35" s="185"/>
      <c r="B35" s="185"/>
      <c r="C35" s="185"/>
      <c r="D35" s="185"/>
      <c r="E35" s="185"/>
      <c r="F35" s="185"/>
      <c r="G35" s="185"/>
      <c r="H35" s="185"/>
    </row>
    <row r="36" spans="1:18" x14ac:dyDescent="0.2">
      <c r="A36" s="186"/>
      <c r="B36" s="186"/>
      <c r="C36" s="186"/>
      <c r="D36" s="186"/>
      <c r="E36" s="186"/>
      <c r="F36" s="186"/>
      <c r="G36" s="186"/>
      <c r="H36" s="186"/>
      <c r="I36" s="187"/>
    </row>
    <row r="37" spans="1:18" x14ac:dyDescent="0.2">
      <c r="B37" s="188" t="s">
        <v>113</v>
      </c>
      <c r="C37" s="188"/>
      <c r="D37" s="187" t="s">
        <v>114</v>
      </c>
      <c r="E37" s="187"/>
      <c r="F37" s="187"/>
      <c r="G37" s="187"/>
      <c r="H37" s="187"/>
      <c r="I37" s="180"/>
    </row>
    <row r="38" spans="1:18" x14ac:dyDescent="0.2">
      <c r="B38" s="430"/>
      <c r="C38" s="430"/>
      <c r="D38" s="190"/>
      <c r="E38" s="191"/>
      <c r="F38" s="191"/>
      <c r="G38" s="180"/>
      <c r="H38" s="180"/>
      <c r="I38" s="187"/>
    </row>
    <row r="39" spans="1:18" x14ac:dyDescent="0.2">
      <c r="B39" s="430" t="s">
        <v>11</v>
      </c>
      <c r="C39" s="430"/>
      <c r="D39" s="187" t="s">
        <v>12</v>
      </c>
      <c r="E39" s="196"/>
      <c r="F39" s="187"/>
      <c r="G39" s="187"/>
      <c r="H39" s="187"/>
      <c r="I39" s="180"/>
    </row>
    <row r="40" spans="1:18" x14ac:dyDescent="0.2">
      <c r="B40" s="430"/>
      <c r="C40" s="430"/>
      <c r="D40" s="190"/>
      <c r="E40" s="191"/>
      <c r="F40" s="191"/>
      <c r="G40" s="180"/>
      <c r="H40" s="180"/>
      <c r="I40" s="180"/>
    </row>
    <row r="41" spans="1:18" x14ac:dyDescent="0.2">
      <c r="B41" s="430" t="s">
        <v>13</v>
      </c>
      <c r="C41" s="430"/>
      <c r="D41" s="190"/>
      <c r="E41" s="191"/>
      <c r="F41" s="191"/>
      <c r="G41" s="180"/>
      <c r="H41" s="180"/>
      <c r="I41" s="180"/>
    </row>
    <row r="42" spans="1:18" x14ac:dyDescent="0.2">
      <c r="B42" s="430"/>
      <c r="C42" s="430"/>
      <c r="D42" s="190"/>
      <c r="E42" s="191"/>
      <c r="F42" s="191"/>
      <c r="G42" s="180"/>
      <c r="H42" s="180"/>
      <c r="I42" s="187"/>
    </row>
    <row r="43" spans="1:18" x14ac:dyDescent="0.2">
      <c r="B43" s="430" t="s">
        <v>115</v>
      </c>
      <c r="C43" s="430"/>
      <c r="D43" s="187" t="s">
        <v>28</v>
      </c>
      <c r="E43" s="187"/>
      <c r="F43" s="187"/>
      <c r="G43" s="187"/>
      <c r="H43" s="187"/>
    </row>
    <row r="46" spans="1:18" x14ac:dyDescent="0.2">
      <c r="B46" s="105" t="s">
        <v>150</v>
      </c>
    </row>
    <row r="47" spans="1:18" x14ac:dyDescent="0.2">
      <c r="B47" s="105">
        <v>1</v>
      </c>
      <c r="C47" s="105" t="s">
        <v>4</v>
      </c>
    </row>
    <row r="48" spans="1:18" x14ac:dyDescent="0.2">
      <c r="C48" s="105" t="s">
        <v>5</v>
      </c>
      <c r="H48" s="173">
        <v>24814.039681915183</v>
      </c>
      <c r="L48" s="170">
        <v>0.41166381187934292</v>
      </c>
      <c r="M48" s="170"/>
      <c r="N48" s="172">
        <f t="shared" ref="N48:N65" si="0">H48*L48</f>
        <v>10215.042163582482</v>
      </c>
      <c r="O48" s="172">
        <f t="shared" ref="O48:O65" si="1">H48-N48</f>
        <v>14598.997518332701</v>
      </c>
      <c r="Q48" s="105">
        <f t="shared" ref="Q48:Q65" si="2">H48*0.2</f>
        <v>4962.8079363830366</v>
      </c>
      <c r="R48" s="172"/>
    </row>
    <row r="49" spans="2:18" x14ac:dyDescent="0.2">
      <c r="C49" s="105" t="s">
        <v>6</v>
      </c>
      <c r="H49" s="173">
        <v>22691.682182243043</v>
      </c>
      <c r="L49" s="170">
        <v>0.44753232595249004</v>
      </c>
      <c r="M49" s="170"/>
      <c r="N49" s="172">
        <f t="shared" si="0"/>
        <v>10155.261306793904</v>
      </c>
      <c r="O49" s="172">
        <f t="shared" si="1"/>
        <v>12536.420875449139</v>
      </c>
      <c r="Q49" s="105">
        <f t="shared" si="2"/>
        <v>4538.3364364486088</v>
      </c>
      <c r="R49" s="172"/>
    </row>
    <row r="50" spans="2:18" x14ac:dyDescent="0.2">
      <c r="C50" s="105" t="s">
        <v>7</v>
      </c>
      <c r="H50" s="173">
        <v>21229.866666666669</v>
      </c>
      <c r="L50" s="170">
        <v>0.47610476040250876</v>
      </c>
      <c r="M50" s="170"/>
      <c r="N50" s="172">
        <f t="shared" si="0"/>
        <v>10107.640582710541</v>
      </c>
      <c r="O50" s="172">
        <f t="shared" si="1"/>
        <v>11122.226083956128</v>
      </c>
      <c r="Q50" s="105">
        <f t="shared" si="2"/>
        <v>4245.9733333333343</v>
      </c>
      <c r="R50" s="172"/>
    </row>
    <row r="51" spans="2:18" x14ac:dyDescent="0.2">
      <c r="C51" s="105" t="s">
        <v>8</v>
      </c>
      <c r="H51" s="173">
        <v>34739.255950975836</v>
      </c>
      <c r="L51" s="170">
        <v>0.29943338151886223</v>
      </c>
      <c r="M51" s="170"/>
      <c r="N51" s="172">
        <f t="shared" si="0"/>
        <v>10402.092880849952</v>
      </c>
      <c r="O51" s="172">
        <f t="shared" si="1"/>
        <v>24337.163070125884</v>
      </c>
      <c r="Q51" s="105">
        <f t="shared" si="2"/>
        <v>6947.8511901951679</v>
      </c>
      <c r="R51" s="172"/>
    </row>
    <row r="52" spans="2:18" x14ac:dyDescent="0.2">
      <c r="B52" s="105">
        <v>2</v>
      </c>
      <c r="C52" s="105" t="s">
        <v>9</v>
      </c>
      <c r="H52" s="173"/>
      <c r="L52" s="170"/>
      <c r="M52" s="170"/>
      <c r="N52" s="172">
        <f t="shared" si="0"/>
        <v>0</v>
      </c>
      <c r="O52" s="172">
        <f t="shared" si="1"/>
        <v>0</v>
      </c>
      <c r="Q52" s="105">
        <f t="shared" si="2"/>
        <v>0</v>
      </c>
      <c r="R52" s="172"/>
    </row>
    <row r="53" spans="2:18" x14ac:dyDescent="0.2">
      <c r="C53" s="105" t="s">
        <v>5</v>
      </c>
      <c r="H53" s="173">
        <v>27165.133015248521</v>
      </c>
      <c r="L53" s="170">
        <v>0.37809462596788546</v>
      </c>
      <c r="M53" s="170"/>
      <c r="N53" s="172">
        <f t="shared" si="0"/>
        <v>10270.990806768246</v>
      </c>
      <c r="O53" s="172">
        <f t="shared" si="1"/>
        <v>16894.142208480276</v>
      </c>
      <c r="Q53" s="105">
        <f t="shared" si="2"/>
        <v>5433.0266030497041</v>
      </c>
      <c r="R53" s="172"/>
    </row>
    <row r="54" spans="2:18" x14ac:dyDescent="0.2">
      <c r="C54" s="105" t="s">
        <v>6</v>
      </c>
      <c r="H54" s="173">
        <v>25042.775515576381</v>
      </c>
      <c r="L54" s="170">
        <v>0.40813838201241115</v>
      </c>
      <c r="M54" s="170"/>
      <c r="N54" s="172">
        <f t="shared" si="0"/>
        <v>10220.917880027369</v>
      </c>
      <c r="O54" s="172">
        <f t="shared" si="1"/>
        <v>14821.857635549011</v>
      </c>
      <c r="Q54" s="105">
        <f t="shared" si="2"/>
        <v>5008.5551031152763</v>
      </c>
      <c r="R54" s="172"/>
    </row>
    <row r="55" spans="2:18" x14ac:dyDescent="0.2">
      <c r="C55" s="105" t="s">
        <v>7</v>
      </c>
      <c r="H55" s="173">
        <v>23580.960000000003</v>
      </c>
      <c r="L55" s="170">
        <v>0.43176923758568675</v>
      </c>
      <c r="M55" s="170"/>
      <c r="N55" s="172">
        <f t="shared" si="0"/>
        <v>10181.533120738577</v>
      </c>
      <c r="O55" s="172">
        <f t="shared" si="1"/>
        <v>13399.426879261426</v>
      </c>
      <c r="Q55" s="105">
        <f t="shared" si="2"/>
        <v>4716.1920000000009</v>
      </c>
      <c r="R55" s="172"/>
    </row>
    <row r="56" spans="2:18" x14ac:dyDescent="0.2">
      <c r="C56" s="105" t="s">
        <v>8</v>
      </c>
      <c r="H56" s="173">
        <v>37090.349284309166</v>
      </c>
      <c r="L56" s="170">
        <v>0.28126903605023934</v>
      </c>
      <c r="M56" s="170"/>
      <c r="N56" s="172">
        <f t="shared" si="0"/>
        <v>10432.366789964324</v>
      </c>
      <c r="O56" s="172">
        <f t="shared" si="1"/>
        <v>26657.98249434484</v>
      </c>
      <c r="Q56" s="105">
        <f t="shared" si="2"/>
        <v>7418.0698568618336</v>
      </c>
      <c r="R56" s="172"/>
    </row>
    <row r="57" spans="2:18" x14ac:dyDescent="0.2">
      <c r="B57" s="105">
        <v>3</v>
      </c>
      <c r="C57" s="105" t="s">
        <v>10</v>
      </c>
      <c r="H57" s="173"/>
      <c r="L57" s="170"/>
      <c r="M57" s="170"/>
      <c r="N57" s="172">
        <f t="shared" si="0"/>
        <v>0</v>
      </c>
      <c r="O57" s="172">
        <f t="shared" si="1"/>
        <v>0</v>
      </c>
      <c r="Q57" s="105">
        <f t="shared" si="2"/>
        <v>0</v>
      </c>
      <c r="R57" s="172"/>
    </row>
    <row r="58" spans="2:18" x14ac:dyDescent="0.2">
      <c r="C58" s="105" t="s">
        <v>5</v>
      </c>
      <c r="H58" s="173">
        <v>28807.639681915189</v>
      </c>
      <c r="L58" s="170">
        <v>0.35771605076162838</v>
      </c>
      <c r="M58" s="170"/>
      <c r="N58" s="172">
        <f t="shared" si="0"/>
        <v>10304.955098778673</v>
      </c>
      <c r="O58" s="172">
        <f t="shared" si="1"/>
        <v>18502.684583136514</v>
      </c>
      <c r="Q58" s="105">
        <f t="shared" si="2"/>
        <v>5761.5279363830377</v>
      </c>
      <c r="R58" s="172"/>
    </row>
    <row r="59" spans="2:18" x14ac:dyDescent="0.2">
      <c r="C59" s="105" t="s">
        <v>6</v>
      </c>
      <c r="H59" s="173">
        <v>26685.282182243052</v>
      </c>
      <c r="L59" s="170">
        <v>0.38449379881460699</v>
      </c>
      <c r="M59" s="170"/>
      <c r="N59" s="172">
        <f t="shared" si="0"/>
        <v>10260.325518690377</v>
      </c>
      <c r="O59" s="172">
        <f t="shared" si="1"/>
        <v>16424.956663552675</v>
      </c>
      <c r="Q59" s="105">
        <f t="shared" si="2"/>
        <v>5337.0564364486108</v>
      </c>
      <c r="R59" s="172"/>
    </row>
    <row r="60" spans="2:18" x14ac:dyDescent="0.2">
      <c r="C60" s="105" t="s">
        <v>7</v>
      </c>
      <c r="H60" s="173">
        <v>25223.466666666667</v>
      </c>
      <c r="L60" s="170">
        <v>0.40539585213590318</v>
      </c>
      <c r="M60" s="170"/>
      <c r="N60" s="172">
        <f t="shared" si="0"/>
        <v>10225.488763154883</v>
      </c>
      <c r="O60" s="172">
        <f t="shared" si="1"/>
        <v>14997.977903511784</v>
      </c>
      <c r="Q60" s="105">
        <f t="shared" si="2"/>
        <v>5044.6933333333336</v>
      </c>
      <c r="R60" s="172"/>
    </row>
    <row r="61" spans="2:18" x14ac:dyDescent="0.2">
      <c r="C61" s="105" t="s">
        <v>8</v>
      </c>
      <c r="H61" s="173">
        <v>38732.855950975834</v>
      </c>
      <c r="L61" s="170">
        <v>0.26983359728993883</v>
      </c>
      <c r="M61" s="170"/>
      <c r="N61" s="172">
        <f t="shared" si="0"/>
        <v>10451.425854564824</v>
      </c>
      <c r="O61" s="172">
        <f t="shared" si="1"/>
        <v>28281.430096411008</v>
      </c>
      <c r="Q61" s="105">
        <f t="shared" si="2"/>
        <v>7746.5711901951672</v>
      </c>
      <c r="R61" s="172"/>
    </row>
    <row r="62" spans="2:18" x14ac:dyDescent="0.2">
      <c r="B62" s="105">
        <v>4</v>
      </c>
      <c r="C62" s="105" t="s">
        <v>83</v>
      </c>
      <c r="H62" s="173"/>
      <c r="L62" s="170"/>
      <c r="M62" s="170"/>
      <c r="N62" s="172">
        <f t="shared" si="0"/>
        <v>0</v>
      </c>
      <c r="O62" s="172">
        <f t="shared" si="1"/>
        <v>0</v>
      </c>
      <c r="Q62" s="105">
        <f t="shared" si="2"/>
        <v>0</v>
      </c>
      <c r="R62" s="172"/>
    </row>
    <row r="63" spans="2:18" x14ac:dyDescent="0.2">
      <c r="C63" s="105" t="s">
        <v>84</v>
      </c>
      <c r="H63" s="173">
        <v>17668.433148968099</v>
      </c>
      <c r="L63" s="170">
        <v>0.56380099511561999</v>
      </c>
      <c r="M63" s="170"/>
      <c r="N63" s="172">
        <f t="shared" si="0"/>
        <v>9961.4801915220214</v>
      </c>
      <c r="O63" s="172">
        <f t="shared" si="1"/>
        <v>7706.9529574460776</v>
      </c>
      <c r="Q63" s="105">
        <f t="shared" si="2"/>
        <v>3533.6866297936199</v>
      </c>
      <c r="R63" s="172"/>
    </row>
    <row r="64" spans="2:18" x14ac:dyDescent="0.2">
      <c r="C64" s="105" t="s">
        <v>85</v>
      </c>
      <c r="H64" s="173">
        <v>20019.526482301433</v>
      </c>
      <c r="L64" s="170">
        <v>0.50267690792163922</v>
      </c>
      <c r="M64" s="170"/>
      <c r="N64" s="172">
        <f t="shared" si="0"/>
        <v>10063.353670178656</v>
      </c>
      <c r="O64" s="172">
        <f t="shared" si="1"/>
        <v>9956.172812122777</v>
      </c>
      <c r="Q64" s="105">
        <f t="shared" si="2"/>
        <v>4003.905296460287</v>
      </c>
      <c r="R64" s="172"/>
    </row>
    <row r="65" spans="2:18" x14ac:dyDescent="0.2">
      <c r="B65" s="105">
        <v>5</v>
      </c>
      <c r="C65" s="105" t="s">
        <v>86</v>
      </c>
      <c r="H65" s="173">
        <v>12004.481850048054</v>
      </c>
      <c r="L65" s="170">
        <v>0.79738351926955342</v>
      </c>
      <c r="M65" s="170"/>
      <c r="N65" s="172">
        <f t="shared" si="0"/>
        <v>9572.1759845987963</v>
      </c>
      <c r="O65" s="172">
        <f t="shared" si="1"/>
        <v>2432.3058654492579</v>
      </c>
      <c r="Q65" s="105">
        <f t="shared" si="2"/>
        <v>2400.896370009611</v>
      </c>
      <c r="R65" s="172"/>
    </row>
  </sheetData>
  <mergeCells count="24">
    <mergeCell ref="B40:C40"/>
    <mergeCell ref="B41:C41"/>
    <mergeCell ref="B42:C42"/>
    <mergeCell ref="B43:C43"/>
    <mergeCell ref="B38:C38"/>
    <mergeCell ref="B39:C39"/>
    <mergeCell ref="A11:A14"/>
    <mergeCell ref="B11:B14"/>
    <mergeCell ref="C11:D11"/>
    <mergeCell ref="C12:D12"/>
    <mergeCell ref="C13:D13"/>
    <mergeCell ref="C14:D14"/>
    <mergeCell ref="G1:H1"/>
    <mergeCell ref="G2:H2"/>
    <mergeCell ref="I2:N2"/>
    <mergeCell ref="O2:Q2"/>
    <mergeCell ref="C1:D1"/>
    <mergeCell ref="C2:D2"/>
    <mergeCell ref="A10:D10"/>
    <mergeCell ref="C4:D4"/>
    <mergeCell ref="A6:D6"/>
    <mergeCell ref="A7:D7"/>
    <mergeCell ref="A8:D8"/>
    <mergeCell ref="A9:D9"/>
  </mergeCells>
  <pageMargins left="0.25" right="0.25" top="0.75" bottom="0.75" header="0.3" footer="0.3"/>
  <pageSetup paperSize="9" scale="80" fitToHeight="0" orientation="portrait" r:id="rId1"/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6"/>
  <sheetViews>
    <sheetView workbookViewId="0">
      <selection activeCell="C5" sqref="C5"/>
    </sheetView>
  </sheetViews>
  <sheetFormatPr defaultColWidth="9.140625" defaultRowHeight="15" x14ac:dyDescent="0.25"/>
  <cols>
    <col min="1" max="1" width="6.85546875" style="56" customWidth="1"/>
    <col min="2" max="2" width="49.42578125" style="56" customWidth="1"/>
    <col min="3" max="3" width="12" style="56" customWidth="1"/>
    <col min="4" max="4" width="10" style="56" customWidth="1"/>
    <col min="5" max="5" width="9.7109375" style="56" customWidth="1"/>
    <col min="6" max="6" width="9.140625" style="56"/>
    <col min="7" max="7" width="11.5703125" style="56" customWidth="1"/>
    <col min="8" max="16384" width="9.140625" style="56"/>
  </cols>
  <sheetData>
    <row r="1" spans="1:12" ht="16.5" thickBot="1" x14ac:dyDescent="0.3">
      <c r="A1" s="397"/>
      <c r="B1" s="397"/>
      <c r="C1" s="397"/>
      <c r="D1" s="397"/>
      <c r="E1" s="397"/>
      <c r="F1" s="397"/>
      <c r="G1" s="397"/>
      <c r="H1" s="55"/>
      <c r="I1" s="55"/>
      <c r="J1" s="55"/>
      <c r="K1" s="55"/>
      <c r="L1" s="55"/>
    </row>
    <row r="2" spans="1:12" x14ac:dyDescent="0.25">
      <c r="A2" s="417" t="s">
        <v>3</v>
      </c>
      <c r="B2" s="419" t="s">
        <v>19</v>
      </c>
      <c r="C2" s="420"/>
      <c r="D2" s="420"/>
      <c r="E2" s="421"/>
      <c r="F2" s="62"/>
      <c r="G2" s="62"/>
      <c r="H2" s="62"/>
      <c r="I2" s="55"/>
    </row>
    <row r="3" spans="1:12" x14ac:dyDescent="0.25">
      <c r="A3" s="418"/>
      <c r="B3" s="399"/>
      <c r="C3" s="138" t="s">
        <v>20</v>
      </c>
      <c r="D3" s="138" t="s">
        <v>21</v>
      </c>
      <c r="E3" s="200" t="s">
        <v>22</v>
      </c>
      <c r="F3" s="59"/>
      <c r="G3" s="55"/>
      <c r="H3" s="55"/>
      <c r="I3" s="55"/>
    </row>
    <row r="4" spans="1:12" x14ac:dyDescent="0.25">
      <c r="A4" s="201">
        <v>1</v>
      </c>
      <c r="B4" s="57" t="s">
        <v>192</v>
      </c>
      <c r="C4" s="58"/>
      <c r="D4" s="58"/>
      <c r="E4" s="202"/>
      <c r="F4" s="59"/>
      <c r="G4" s="55"/>
      <c r="H4" s="55"/>
      <c r="I4" s="55"/>
    </row>
    <row r="5" spans="1:12" ht="31.5" customHeight="1" x14ac:dyDescent="0.25">
      <c r="A5" s="203">
        <v>1</v>
      </c>
      <c r="B5" s="309" t="s">
        <v>190</v>
      </c>
      <c r="C5" s="51">
        <f>61.4*1.15</f>
        <v>70.61</v>
      </c>
      <c r="D5" s="312">
        <v>6</v>
      </c>
      <c r="E5" s="204">
        <f>C5*D5+3.9</f>
        <v>427.55999999999995</v>
      </c>
      <c r="F5" s="59"/>
      <c r="G5" s="55"/>
      <c r="H5" s="55"/>
      <c r="I5" s="55"/>
    </row>
    <row r="6" spans="1:12" x14ac:dyDescent="0.25">
      <c r="A6" s="205">
        <v>2</v>
      </c>
      <c r="B6" s="123" t="s">
        <v>186</v>
      </c>
      <c r="C6" s="51">
        <f>177.64*2*1.15*1.04</f>
        <v>424.91487999999998</v>
      </c>
      <c r="D6" s="312">
        <v>6</v>
      </c>
      <c r="E6" s="204">
        <f t="shared" ref="E6:E10" si="0">C6*D6</f>
        <v>2549.4892799999998</v>
      </c>
      <c r="F6" s="55"/>
      <c r="G6" s="55"/>
      <c r="H6" s="55"/>
      <c r="I6" s="55"/>
    </row>
    <row r="7" spans="1:12" x14ac:dyDescent="0.25">
      <c r="A7" s="205">
        <v>3</v>
      </c>
      <c r="B7" s="309" t="s">
        <v>187</v>
      </c>
      <c r="C7" s="51">
        <f>50.92*1.15</f>
        <v>58.558</v>
      </c>
      <c r="D7" s="312">
        <v>6</v>
      </c>
      <c r="E7" s="204">
        <f t="shared" si="0"/>
        <v>351.34800000000001</v>
      </c>
      <c r="F7" s="55"/>
      <c r="G7" s="55"/>
      <c r="H7" s="55"/>
      <c r="I7" s="55"/>
    </row>
    <row r="8" spans="1:12" ht="58.5" customHeight="1" x14ac:dyDescent="0.25">
      <c r="A8" s="205">
        <v>4</v>
      </c>
      <c r="B8" s="310" t="s">
        <v>188</v>
      </c>
      <c r="C8" s="51">
        <f>149.41*1.15*1.04</f>
        <v>178.69435999999999</v>
      </c>
      <c r="D8" s="311">
        <v>6</v>
      </c>
      <c r="E8" s="204">
        <f t="shared" si="0"/>
        <v>1072.16616</v>
      </c>
      <c r="F8" s="55"/>
      <c r="G8" s="55"/>
      <c r="H8" s="55"/>
      <c r="I8" s="55"/>
    </row>
    <row r="9" spans="1:12" x14ac:dyDescent="0.25">
      <c r="A9" s="205">
        <v>5</v>
      </c>
      <c r="B9" s="311" t="s">
        <v>191</v>
      </c>
      <c r="C9" s="51">
        <v>42</v>
      </c>
      <c r="D9" s="312">
        <v>9</v>
      </c>
      <c r="E9" s="204">
        <f t="shared" si="0"/>
        <v>378</v>
      </c>
      <c r="F9" s="55"/>
      <c r="G9" s="55"/>
      <c r="H9" s="55"/>
      <c r="I9" s="55"/>
    </row>
    <row r="10" spans="1:12" ht="15.75" thickBot="1" x14ac:dyDescent="0.3">
      <c r="A10" s="301">
        <v>6</v>
      </c>
      <c r="B10" s="311" t="s">
        <v>189</v>
      </c>
      <c r="C10" s="302">
        <f>400*1.15*1.04</f>
        <v>478.4</v>
      </c>
      <c r="D10" s="313">
        <v>6</v>
      </c>
      <c r="E10" s="303">
        <f t="shared" si="0"/>
        <v>2870.3999999999996</v>
      </c>
      <c r="F10" s="55"/>
      <c r="G10" s="55"/>
      <c r="H10" s="55"/>
      <c r="I10" s="55"/>
    </row>
    <row r="11" spans="1:12" x14ac:dyDescent="0.25">
      <c r="A11" s="304"/>
      <c r="B11" s="305" t="s">
        <v>145</v>
      </c>
      <c r="C11" s="306"/>
      <c r="D11" s="307"/>
      <c r="E11" s="308">
        <f>_xlfn.CEILING.PRECISE((SUM(E5:E10)*1.05)*1.01)-116</f>
        <v>7996</v>
      </c>
      <c r="F11" s="61">
        <f>SUM(E5:E10)</f>
        <v>7648.9634399999995</v>
      </c>
      <c r="G11" s="62"/>
      <c r="H11" s="55"/>
      <c r="I11" s="55"/>
    </row>
    <row r="12" spans="1:12" x14ac:dyDescent="0.25">
      <c r="A12" s="212"/>
      <c r="B12" s="213"/>
      <c r="C12" s="214"/>
      <c r="D12" s="215"/>
      <c r="E12" s="231">
        <f>E11/14</f>
        <v>571.14285714285711</v>
      </c>
      <c r="F12" s="61"/>
      <c r="G12" s="62"/>
      <c r="H12" s="55"/>
      <c r="I12" s="55"/>
    </row>
    <row r="13" spans="1:12" x14ac:dyDescent="0.25">
      <c r="A13" s="212"/>
      <c r="B13" s="213" t="s">
        <v>98</v>
      </c>
      <c r="C13" s="214"/>
      <c r="D13" s="215"/>
      <c r="E13" s="231">
        <f>_xlfn.CEILING.PRECISE(SUM(E5:E10)*1.2)-105</f>
        <v>9074</v>
      </c>
      <c r="F13" s="61"/>
      <c r="G13" s="62"/>
      <c r="H13" s="55"/>
      <c r="I13" s="55"/>
    </row>
    <row r="14" spans="1:12" ht="15.75" thickBot="1" x14ac:dyDescent="0.3">
      <c r="A14" s="216"/>
      <c r="B14" s="217"/>
      <c r="C14" s="218"/>
      <c r="D14" s="219"/>
      <c r="E14" s="232">
        <f>E13/14</f>
        <v>648.14285714285711</v>
      </c>
      <c r="F14" s="61"/>
      <c r="G14" s="62"/>
      <c r="H14" s="55"/>
      <c r="I14" s="55"/>
    </row>
    <row r="15" spans="1:12" x14ac:dyDescent="0.25">
      <c r="A15" s="314"/>
      <c r="B15" s="315"/>
      <c r="C15" s="316"/>
      <c r="D15" s="317"/>
      <c r="E15" s="318"/>
      <c r="F15" s="61"/>
      <c r="G15" s="62"/>
      <c r="H15" s="55"/>
      <c r="I15" s="55"/>
    </row>
    <row r="16" spans="1:12" x14ac:dyDescent="0.25">
      <c r="A16" s="159" t="s">
        <v>122</v>
      </c>
      <c r="B16" s="159"/>
      <c r="C16" s="159"/>
      <c r="D16" s="159" t="s">
        <v>123</v>
      </c>
    </row>
  </sheetData>
  <mergeCells count="4">
    <mergeCell ref="A1:G1"/>
    <mergeCell ref="A2:A3"/>
    <mergeCell ref="B2:B3"/>
    <mergeCell ref="C2:E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view="pageBreakPreview" topLeftCell="A40" zoomScale="60" workbookViewId="0">
      <selection activeCell="B27" sqref="B27"/>
    </sheetView>
  </sheetViews>
  <sheetFormatPr defaultRowHeight="15" x14ac:dyDescent="0.25"/>
  <cols>
    <col min="1" max="1" width="6.85546875" customWidth="1"/>
    <col min="2" max="2" width="44.85546875" customWidth="1"/>
    <col min="3" max="3" width="12" customWidth="1"/>
    <col min="4" max="4" width="10" customWidth="1"/>
    <col min="5" max="5" width="9.7109375" customWidth="1"/>
    <col min="6" max="6" width="10.85546875" customWidth="1"/>
    <col min="8" max="8" width="11.5703125" customWidth="1"/>
  </cols>
  <sheetData>
    <row r="1" spans="1:13" ht="15.75" x14ac:dyDescent="0.25">
      <c r="A1" s="337"/>
      <c r="B1" s="337"/>
      <c r="C1" s="337"/>
      <c r="D1" s="337"/>
      <c r="E1" s="337"/>
      <c r="F1" s="338"/>
      <c r="G1" s="338"/>
      <c r="H1" s="338"/>
      <c r="I1" s="3"/>
      <c r="J1" s="3"/>
      <c r="K1" s="3"/>
      <c r="L1" s="3"/>
      <c r="M1" s="3"/>
    </row>
    <row r="2" spans="1:13" x14ac:dyDescent="0.25">
      <c r="A2" s="339" t="s">
        <v>3</v>
      </c>
      <c r="B2" s="341" t="s">
        <v>19</v>
      </c>
      <c r="C2" s="343"/>
      <c r="D2" s="343"/>
      <c r="E2" s="343"/>
      <c r="F2" s="9"/>
      <c r="G2" s="9"/>
      <c r="H2" s="9"/>
      <c r="I2" s="9"/>
      <c r="J2" s="3"/>
    </row>
    <row r="3" spans="1:13" x14ac:dyDescent="0.25">
      <c r="A3" s="340"/>
      <c r="B3" s="342"/>
      <c r="C3" s="10" t="s">
        <v>20</v>
      </c>
      <c r="D3" s="10" t="s">
        <v>21</v>
      </c>
      <c r="E3" s="10" t="s">
        <v>22</v>
      </c>
      <c r="F3" s="4"/>
      <c r="G3" s="4"/>
      <c r="H3" s="3"/>
      <c r="I3" s="3"/>
      <c r="J3" s="3"/>
    </row>
    <row r="4" spans="1:13" s="56" customFormat="1" x14ac:dyDescent="0.25">
      <c r="A4" s="57">
        <v>1</v>
      </c>
      <c r="B4" s="57" t="s">
        <v>40</v>
      </c>
      <c r="C4" s="58"/>
      <c r="D4" s="58"/>
      <c r="E4" s="58"/>
      <c r="F4" s="55"/>
      <c r="G4" s="59"/>
      <c r="H4" s="55"/>
      <c r="I4" s="55"/>
      <c r="J4" s="55"/>
    </row>
    <row r="5" spans="1:13" s="56" customFormat="1" x14ac:dyDescent="0.25">
      <c r="A5" s="50"/>
      <c r="B5" s="50" t="s">
        <v>44</v>
      </c>
      <c r="C5" s="51">
        <f>134*1.15</f>
        <v>154.1</v>
      </c>
      <c r="D5" s="50">
        <v>3</v>
      </c>
      <c r="E5" s="51">
        <f>C5*D5</f>
        <v>462.29999999999995</v>
      </c>
      <c r="F5" s="55"/>
      <c r="G5" s="55"/>
      <c r="H5" s="55"/>
      <c r="I5" s="55"/>
      <c r="J5" s="55"/>
    </row>
    <row r="6" spans="1:13" s="56" customFormat="1" x14ac:dyDescent="0.25">
      <c r="A6" s="50"/>
      <c r="B6" s="50" t="s">
        <v>45</v>
      </c>
      <c r="C6" s="51">
        <f>71*1.15</f>
        <v>81.649999999999991</v>
      </c>
      <c r="D6" s="50">
        <v>3</v>
      </c>
      <c r="E6" s="51">
        <f t="shared" ref="E6:E7" si="0">C6*D6</f>
        <v>244.95</v>
      </c>
      <c r="F6" s="55"/>
      <c r="G6" s="55"/>
      <c r="H6" s="55"/>
      <c r="I6" s="55"/>
      <c r="J6" s="55"/>
    </row>
    <row r="7" spans="1:13" s="56" customFormat="1" x14ac:dyDescent="0.25">
      <c r="A7" s="50"/>
      <c r="B7" s="123" t="s">
        <v>46</v>
      </c>
      <c r="C7" s="124">
        <f>88*1.15</f>
        <v>101.19999999999999</v>
      </c>
      <c r="D7" s="123">
        <v>3</v>
      </c>
      <c r="E7" s="124">
        <f t="shared" si="0"/>
        <v>303.59999999999997</v>
      </c>
      <c r="F7" s="55"/>
      <c r="G7" s="55"/>
      <c r="H7" s="55"/>
      <c r="I7" s="55"/>
      <c r="J7" s="55"/>
    </row>
    <row r="8" spans="1:13" s="56" customFormat="1" x14ac:dyDescent="0.25">
      <c r="A8" s="50"/>
      <c r="B8" s="50" t="s">
        <v>81</v>
      </c>
      <c r="C8" s="51"/>
      <c r="D8" s="50"/>
      <c r="E8" s="51">
        <f>SUM(E5:E7)</f>
        <v>1010.8499999999999</v>
      </c>
      <c r="F8" s="55"/>
      <c r="G8" s="55"/>
      <c r="H8" s="55"/>
      <c r="I8" s="55"/>
      <c r="J8" s="55"/>
    </row>
    <row r="9" spans="1:13" s="56" customFormat="1" x14ac:dyDescent="0.25">
      <c r="A9" s="50"/>
      <c r="B9" s="50" t="s">
        <v>24</v>
      </c>
      <c r="C9" s="51"/>
      <c r="D9" s="50"/>
      <c r="E9" s="51">
        <f>E8*0.05</f>
        <v>50.542499999999997</v>
      </c>
      <c r="F9" s="55"/>
      <c r="G9" s="55"/>
      <c r="H9" s="55"/>
      <c r="I9" s="55"/>
      <c r="J9" s="55"/>
    </row>
    <row r="10" spans="1:13" s="56" customFormat="1" x14ac:dyDescent="0.25">
      <c r="A10" s="50"/>
      <c r="B10" s="50" t="s">
        <v>25</v>
      </c>
      <c r="C10" s="51"/>
      <c r="D10" s="50"/>
      <c r="E10" s="51">
        <f>E8*0.16</f>
        <v>161.73599999999999</v>
      </c>
      <c r="F10" s="55"/>
      <c r="G10" s="55"/>
      <c r="H10" s="55"/>
      <c r="I10" s="55"/>
      <c r="J10" s="55"/>
    </row>
    <row r="11" spans="1:13" s="56" customFormat="1" x14ac:dyDescent="0.25">
      <c r="A11" s="58"/>
      <c r="B11" s="57" t="s">
        <v>82</v>
      </c>
      <c r="C11" s="60"/>
      <c r="D11" s="57"/>
      <c r="E11" s="60"/>
      <c r="F11" s="61"/>
      <c r="G11" s="61"/>
      <c r="H11" s="62"/>
      <c r="I11" s="55"/>
      <c r="J11" s="55"/>
    </row>
    <row r="12" spans="1:13" s="56" customFormat="1" x14ac:dyDescent="0.25">
      <c r="A12" s="58"/>
      <c r="B12" s="57" t="s">
        <v>26</v>
      </c>
      <c r="C12" s="60"/>
      <c r="D12" s="57"/>
      <c r="E12" s="60">
        <f>E8+E9+7</f>
        <v>1068.3924999999999</v>
      </c>
      <c r="F12" s="55"/>
      <c r="G12" s="55"/>
      <c r="H12" s="62"/>
      <c r="I12" s="55"/>
      <c r="J12" s="55"/>
    </row>
    <row r="13" spans="1:13" s="56" customFormat="1" x14ac:dyDescent="0.25">
      <c r="A13" s="58"/>
      <c r="B13" s="57" t="s">
        <v>27</v>
      </c>
      <c r="C13" s="60"/>
      <c r="D13" s="57"/>
      <c r="E13" s="60">
        <f>E10+E8</f>
        <v>1172.5859999999998</v>
      </c>
      <c r="F13" s="55"/>
      <c r="G13" s="55"/>
      <c r="H13" s="62"/>
      <c r="I13" s="55"/>
      <c r="J13" s="55"/>
    </row>
    <row r="14" spans="1:13" s="56" customFormat="1" x14ac:dyDescent="0.25">
      <c r="A14" s="63">
        <v>2</v>
      </c>
      <c r="B14" s="63" t="s">
        <v>41</v>
      </c>
      <c r="C14" s="65"/>
      <c r="D14" s="64"/>
      <c r="E14" s="65"/>
      <c r="F14" s="55"/>
      <c r="G14" s="55"/>
      <c r="H14" s="62"/>
      <c r="I14" s="55"/>
      <c r="J14" s="55"/>
    </row>
    <row r="15" spans="1:13" s="56" customFormat="1" x14ac:dyDescent="0.25">
      <c r="A15" s="50"/>
      <c r="B15" s="123" t="s">
        <v>47</v>
      </c>
      <c r="C15" s="124">
        <f>943.35*1.15</f>
        <v>1084.8525</v>
      </c>
      <c r="D15" s="123">
        <v>2</v>
      </c>
      <c r="E15" s="124">
        <f>C15*D15</f>
        <v>2169.7049999999999</v>
      </c>
      <c r="F15" s="55"/>
      <c r="G15" s="55"/>
      <c r="H15" s="62"/>
      <c r="I15" s="55"/>
      <c r="J15" s="55"/>
    </row>
    <row r="16" spans="1:13" s="56" customFormat="1" x14ac:dyDescent="0.25">
      <c r="A16" s="50"/>
      <c r="B16" s="50" t="s">
        <v>48</v>
      </c>
      <c r="C16" s="51">
        <f>199*1.15</f>
        <v>228.85</v>
      </c>
      <c r="D16" s="50">
        <v>3</v>
      </c>
      <c r="E16" s="51">
        <f t="shared" ref="E16:E17" si="1">C16*D16</f>
        <v>686.55</v>
      </c>
      <c r="F16" s="55"/>
      <c r="G16" s="55"/>
      <c r="H16" s="62"/>
      <c r="I16" s="55"/>
      <c r="J16" s="55"/>
    </row>
    <row r="17" spans="1:10" x14ac:dyDescent="0.25">
      <c r="A17" s="50"/>
      <c r="B17" s="50" t="s">
        <v>49</v>
      </c>
      <c r="C17" s="51">
        <f>85.73*1.15</f>
        <v>98.589500000000001</v>
      </c>
      <c r="D17" s="50">
        <v>3</v>
      </c>
      <c r="E17" s="51">
        <f t="shared" si="1"/>
        <v>295.76850000000002</v>
      </c>
      <c r="F17" s="3"/>
      <c r="G17" s="3"/>
      <c r="H17" s="9"/>
      <c r="I17" s="3"/>
      <c r="J17" s="3"/>
    </row>
    <row r="18" spans="1:10" s="56" customFormat="1" x14ac:dyDescent="0.25">
      <c r="A18" s="50"/>
      <c r="B18" s="50" t="s">
        <v>81</v>
      </c>
      <c r="C18" s="50"/>
      <c r="D18" s="50"/>
      <c r="E18" s="51">
        <f>SUM(E15:E17)</f>
        <v>3152.0235000000002</v>
      </c>
      <c r="F18" s="55"/>
      <c r="G18" s="55"/>
      <c r="H18" s="62"/>
      <c r="I18" s="55"/>
      <c r="J18" s="55"/>
    </row>
    <row r="19" spans="1:10" s="56" customFormat="1" x14ac:dyDescent="0.25">
      <c r="A19" s="50"/>
      <c r="B19" s="50" t="s">
        <v>24</v>
      </c>
      <c r="C19" s="50"/>
      <c r="D19" s="50"/>
      <c r="E19" s="51">
        <f>E18*0.05</f>
        <v>157.60117500000001</v>
      </c>
      <c r="F19" s="55"/>
      <c r="G19" s="55"/>
      <c r="H19" s="62"/>
      <c r="I19" s="55"/>
      <c r="J19" s="55"/>
    </row>
    <row r="20" spans="1:10" s="56" customFormat="1" x14ac:dyDescent="0.25">
      <c r="A20" s="50"/>
      <c r="B20" s="50" t="s">
        <v>25</v>
      </c>
      <c r="C20" s="50"/>
      <c r="D20" s="50"/>
      <c r="E20" s="51">
        <f>E18*0.16</f>
        <v>504.32376000000005</v>
      </c>
      <c r="F20" s="55"/>
      <c r="G20" s="55"/>
      <c r="H20" s="62"/>
      <c r="I20" s="55"/>
      <c r="J20" s="55"/>
    </row>
    <row r="21" spans="1:10" s="56" customFormat="1" x14ac:dyDescent="0.25">
      <c r="A21" s="64"/>
      <c r="B21" s="63" t="s">
        <v>82</v>
      </c>
      <c r="C21" s="64"/>
      <c r="D21" s="64"/>
      <c r="E21" s="65"/>
      <c r="F21" s="55"/>
      <c r="G21" s="55"/>
      <c r="H21" s="62"/>
      <c r="I21" s="55"/>
      <c r="J21" s="55"/>
    </row>
    <row r="22" spans="1:10" s="56" customFormat="1" x14ac:dyDescent="0.25">
      <c r="A22" s="64"/>
      <c r="B22" s="63" t="s">
        <v>26</v>
      </c>
      <c r="C22" s="63"/>
      <c r="D22" s="63"/>
      <c r="E22" s="66">
        <f>E18+E19+2</f>
        <v>3311.624675</v>
      </c>
      <c r="F22" s="67"/>
      <c r="G22" s="55"/>
      <c r="H22" s="62"/>
      <c r="I22" s="55"/>
      <c r="J22" s="55"/>
    </row>
    <row r="23" spans="1:10" s="56" customFormat="1" x14ac:dyDescent="0.25">
      <c r="A23" s="64"/>
      <c r="B23" s="63" t="s">
        <v>27</v>
      </c>
      <c r="C23" s="63"/>
      <c r="D23" s="63"/>
      <c r="E23" s="66">
        <f>E18+E20+1</f>
        <v>3657.3472600000005</v>
      </c>
      <c r="F23" s="67"/>
      <c r="G23" s="55"/>
      <c r="H23" s="62"/>
      <c r="I23" s="55"/>
      <c r="J23" s="55"/>
    </row>
    <row r="24" spans="1:10" s="56" customFormat="1" x14ac:dyDescent="0.25">
      <c r="A24" s="68">
        <v>3</v>
      </c>
      <c r="B24" s="68" t="s">
        <v>42</v>
      </c>
      <c r="C24" s="68"/>
      <c r="D24" s="68"/>
      <c r="E24" s="69"/>
      <c r="F24" s="55"/>
      <c r="G24" s="55"/>
      <c r="H24" s="62"/>
      <c r="I24" s="55"/>
      <c r="J24" s="55"/>
    </row>
    <row r="25" spans="1:10" s="56" customFormat="1" x14ac:dyDescent="0.25">
      <c r="A25" s="50"/>
      <c r="B25" s="50" t="s">
        <v>48</v>
      </c>
      <c r="C25" s="51">
        <f>199*1.15</f>
        <v>228.85</v>
      </c>
      <c r="D25" s="50">
        <v>3</v>
      </c>
      <c r="E25" s="51">
        <f t="shared" ref="E25:E26" si="2">C25*D25</f>
        <v>686.55</v>
      </c>
      <c r="F25" s="55"/>
      <c r="G25" s="55"/>
      <c r="H25" s="62"/>
      <c r="I25" s="55"/>
      <c r="J25" s="55"/>
    </row>
    <row r="26" spans="1:10" s="56" customFormat="1" x14ac:dyDescent="0.25">
      <c r="A26" s="50"/>
      <c r="B26" s="50" t="s">
        <v>49</v>
      </c>
      <c r="C26" s="51">
        <f>85.73*1.15</f>
        <v>98.589500000000001</v>
      </c>
      <c r="D26" s="50">
        <v>3</v>
      </c>
      <c r="E26" s="51">
        <f t="shared" si="2"/>
        <v>295.76850000000002</v>
      </c>
      <c r="F26" s="61"/>
      <c r="G26" s="61"/>
      <c r="H26" s="62"/>
      <c r="I26" s="55"/>
      <c r="J26" s="55"/>
    </row>
    <row r="27" spans="1:10" s="56" customFormat="1" x14ac:dyDescent="0.25">
      <c r="A27" s="50"/>
      <c r="B27" s="50" t="s">
        <v>50</v>
      </c>
      <c r="C27" s="51">
        <f>358.6*1.15</f>
        <v>412.39</v>
      </c>
      <c r="D27" s="50">
        <v>3</v>
      </c>
      <c r="E27" s="51">
        <f t="shared" ref="E27" si="3">C27*D27</f>
        <v>1237.17</v>
      </c>
      <c r="F27" s="61"/>
      <c r="G27" s="61"/>
      <c r="H27" s="62"/>
      <c r="I27" s="55"/>
      <c r="J27" s="55"/>
    </row>
    <row r="28" spans="1:10" s="56" customFormat="1" x14ac:dyDescent="0.25">
      <c r="A28" s="50"/>
      <c r="B28" s="50" t="s">
        <v>81</v>
      </c>
      <c r="C28" s="50"/>
      <c r="D28" s="50"/>
      <c r="E28" s="51">
        <f>SUM(E25:E27)</f>
        <v>2219.4884999999999</v>
      </c>
      <c r="F28" s="55"/>
      <c r="G28" s="55"/>
      <c r="H28" s="55"/>
      <c r="I28" s="55"/>
      <c r="J28" s="55"/>
    </row>
    <row r="29" spans="1:10" s="56" customFormat="1" x14ac:dyDescent="0.25">
      <c r="A29" s="50"/>
      <c r="B29" s="50" t="s">
        <v>24</v>
      </c>
      <c r="C29" s="50"/>
      <c r="D29" s="50"/>
      <c r="E29" s="51">
        <f>E28*0.05</f>
        <v>110.974425</v>
      </c>
      <c r="F29" s="55"/>
      <c r="G29" s="55"/>
      <c r="H29" s="55"/>
      <c r="I29" s="55"/>
      <c r="J29" s="55"/>
    </row>
    <row r="30" spans="1:10" s="56" customFormat="1" x14ac:dyDescent="0.25">
      <c r="A30" s="50"/>
      <c r="B30" s="50" t="s">
        <v>25</v>
      </c>
      <c r="C30" s="50"/>
      <c r="D30" s="50"/>
      <c r="E30" s="51">
        <f>E28*0.16</f>
        <v>355.11815999999999</v>
      </c>
      <c r="F30" s="55"/>
      <c r="G30" s="55"/>
      <c r="H30" s="55"/>
      <c r="I30" s="55"/>
      <c r="J30" s="55"/>
    </row>
    <row r="31" spans="1:10" s="56" customFormat="1" x14ac:dyDescent="0.25">
      <c r="A31" s="70"/>
      <c r="B31" s="68" t="s">
        <v>82</v>
      </c>
      <c r="C31" s="70"/>
      <c r="D31" s="70"/>
      <c r="E31" s="71"/>
      <c r="F31" s="55"/>
      <c r="G31" s="55"/>
      <c r="H31" s="55"/>
      <c r="I31" s="55"/>
      <c r="J31" s="55"/>
    </row>
    <row r="32" spans="1:10" s="56" customFormat="1" x14ac:dyDescent="0.25">
      <c r="A32" s="70"/>
      <c r="B32" s="68" t="s">
        <v>26</v>
      </c>
      <c r="C32" s="68"/>
      <c r="D32" s="68"/>
      <c r="E32" s="69">
        <f>E28+E29+4</f>
        <v>2334.4629249999998</v>
      </c>
      <c r="F32" s="55"/>
      <c r="G32" s="55"/>
      <c r="H32" s="55"/>
      <c r="I32" s="55"/>
      <c r="J32" s="55"/>
    </row>
    <row r="33" spans="1:10" s="56" customFormat="1" x14ac:dyDescent="0.25">
      <c r="A33" s="70"/>
      <c r="B33" s="68" t="s">
        <v>27</v>
      </c>
      <c r="C33" s="68"/>
      <c r="D33" s="68"/>
      <c r="E33" s="69">
        <f>E28+E30+1</f>
        <v>2575.6066599999999</v>
      </c>
      <c r="F33" s="55"/>
      <c r="G33" s="55"/>
      <c r="H33" s="55"/>
      <c r="I33" s="55"/>
      <c r="J33" s="55"/>
    </row>
    <row r="34" spans="1:10" s="56" customFormat="1" x14ac:dyDescent="0.25">
      <c r="A34" s="72">
        <v>4</v>
      </c>
      <c r="B34" s="72" t="s">
        <v>43</v>
      </c>
      <c r="C34" s="72"/>
      <c r="D34" s="72"/>
      <c r="E34" s="73"/>
      <c r="F34" s="55"/>
      <c r="G34" s="55"/>
      <c r="H34" s="55"/>
      <c r="I34" s="55"/>
      <c r="J34" s="55"/>
    </row>
    <row r="35" spans="1:10" s="56" customFormat="1" x14ac:dyDescent="0.25">
      <c r="A35" s="50"/>
      <c r="B35" s="50" t="s">
        <v>51</v>
      </c>
      <c r="C35" s="51">
        <f>178.58*1.15</f>
        <v>205.36699999999999</v>
      </c>
      <c r="D35" s="50">
        <v>6</v>
      </c>
      <c r="E35" s="51">
        <f>C35*D35</f>
        <v>1232.202</v>
      </c>
      <c r="F35" s="55"/>
      <c r="G35" s="55"/>
      <c r="H35" s="55"/>
      <c r="I35" s="55"/>
      <c r="J35" s="55"/>
    </row>
    <row r="36" spans="1:10" s="56" customFormat="1" x14ac:dyDescent="0.25">
      <c r="A36" s="50"/>
      <c r="B36" s="50" t="s">
        <v>52</v>
      </c>
      <c r="C36" s="51">
        <f>86.42*1.15</f>
        <v>99.382999999999996</v>
      </c>
      <c r="D36" s="50">
        <v>6</v>
      </c>
      <c r="E36" s="51">
        <f t="shared" ref="E36" si="4">C36*D36</f>
        <v>596.298</v>
      </c>
      <c r="F36" s="55"/>
      <c r="G36" s="55"/>
      <c r="H36" s="55"/>
      <c r="I36" s="55"/>
      <c r="J36" s="55"/>
    </row>
    <row r="37" spans="1:10" s="56" customFormat="1" x14ac:dyDescent="0.25">
      <c r="A37" s="50"/>
      <c r="B37" s="50" t="s">
        <v>81</v>
      </c>
      <c r="C37" s="50"/>
      <c r="D37" s="50"/>
      <c r="E37" s="51">
        <f>E35+E36</f>
        <v>1828.5</v>
      </c>
      <c r="F37" s="55"/>
      <c r="G37" s="75"/>
      <c r="H37" s="55"/>
      <c r="I37" s="55"/>
      <c r="J37" s="55"/>
    </row>
    <row r="38" spans="1:10" s="56" customFormat="1" x14ac:dyDescent="0.25">
      <c r="A38" s="50"/>
      <c r="B38" s="50" t="s">
        <v>24</v>
      </c>
      <c r="C38" s="50"/>
      <c r="D38" s="50"/>
      <c r="E38" s="51">
        <f>E37*0.05</f>
        <v>91.425000000000011</v>
      </c>
      <c r="F38" s="55"/>
      <c r="G38" s="55"/>
      <c r="H38" s="55"/>
      <c r="I38" s="55"/>
      <c r="J38" s="55"/>
    </row>
    <row r="39" spans="1:10" s="56" customFormat="1" x14ac:dyDescent="0.25">
      <c r="A39" s="50"/>
      <c r="B39" s="50" t="s">
        <v>25</v>
      </c>
      <c r="C39" s="50"/>
      <c r="D39" s="50"/>
      <c r="E39" s="51">
        <f>E37*0.16</f>
        <v>292.56</v>
      </c>
      <c r="F39" s="61"/>
      <c r="G39" s="61"/>
      <c r="H39" s="62"/>
      <c r="I39" s="55"/>
      <c r="J39" s="55"/>
    </row>
    <row r="40" spans="1:10" s="56" customFormat="1" x14ac:dyDescent="0.25">
      <c r="A40" s="76"/>
      <c r="B40" s="72" t="s">
        <v>82</v>
      </c>
      <c r="C40" s="76"/>
      <c r="D40" s="76"/>
      <c r="E40" s="77"/>
      <c r="F40" s="55"/>
      <c r="G40" s="55"/>
      <c r="H40" s="55"/>
      <c r="I40" s="55"/>
      <c r="J40" s="55"/>
    </row>
    <row r="41" spans="1:10" s="56" customFormat="1" x14ac:dyDescent="0.25">
      <c r="A41" s="76"/>
      <c r="B41" s="72" t="s">
        <v>26</v>
      </c>
      <c r="C41" s="72"/>
      <c r="D41" s="72"/>
      <c r="E41" s="73">
        <f>E37+E38</f>
        <v>1919.925</v>
      </c>
      <c r="F41" s="55"/>
      <c r="G41" s="55"/>
      <c r="H41" s="55"/>
      <c r="I41" s="55"/>
      <c r="J41" s="55"/>
    </row>
    <row r="42" spans="1:10" s="56" customFormat="1" x14ac:dyDescent="0.25">
      <c r="A42" s="76"/>
      <c r="B42" s="72" t="s">
        <v>27</v>
      </c>
      <c r="C42" s="72"/>
      <c r="D42" s="72"/>
      <c r="E42" s="73">
        <f>E37+E39+6</f>
        <v>2127.06</v>
      </c>
      <c r="F42" s="67"/>
      <c r="G42" s="55"/>
      <c r="H42" s="55"/>
      <c r="I42" s="55"/>
      <c r="J42" s="55"/>
    </row>
    <row r="43" spans="1:10" x14ac:dyDescent="0.25">
      <c r="A43" s="78">
        <v>5</v>
      </c>
      <c r="B43" s="78" t="s">
        <v>58</v>
      </c>
      <c r="C43" s="78"/>
      <c r="D43" s="78"/>
      <c r="E43" s="79"/>
      <c r="F43" s="5" t="s">
        <v>53</v>
      </c>
      <c r="G43" s="3"/>
      <c r="H43" s="3"/>
      <c r="I43" s="3"/>
      <c r="J43" s="3"/>
    </row>
    <row r="44" spans="1:10" s="56" customFormat="1" x14ac:dyDescent="0.25">
      <c r="A44" s="50"/>
      <c r="B44" s="50" t="s">
        <v>54</v>
      </c>
      <c r="C44" s="51">
        <f>142.35*1.15</f>
        <v>163.70249999999999</v>
      </c>
      <c r="D44" s="50">
        <v>6</v>
      </c>
      <c r="E44" s="51">
        <f>C44*D44</f>
        <v>982.21499999999992</v>
      </c>
      <c r="F44" s="55"/>
      <c r="G44" s="55"/>
      <c r="H44" s="55"/>
      <c r="I44" s="55"/>
      <c r="J44" s="55"/>
    </row>
    <row r="45" spans="1:10" x14ac:dyDescent="0.25">
      <c r="A45" s="50"/>
      <c r="B45" s="123" t="s">
        <v>55</v>
      </c>
      <c r="C45" s="124">
        <f>88*1.15</f>
        <v>101.19999999999999</v>
      </c>
      <c r="D45" s="123">
        <v>6</v>
      </c>
      <c r="E45" s="124">
        <f t="shared" ref="E45" si="5">C45*D45</f>
        <v>607.19999999999993</v>
      </c>
      <c r="F45" s="5"/>
      <c r="G45" s="3"/>
      <c r="H45" s="3"/>
      <c r="I45" s="3"/>
      <c r="J45" s="3"/>
    </row>
    <row r="46" spans="1:10" x14ac:dyDescent="0.25">
      <c r="A46" s="50"/>
      <c r="B46" s="50" t="s">
        <v>81</v>
      </c>
      <c r="C46" s="50"/>
      <c r="D46" s="50"/>
      <c r="E46" s="51">
        <f>E44+E45</f>
        <v>1589.415</v>
      </c>
      <c r="F46" s="5"/>
      <c r="G46" s="3"/>
      <c r="H46" s="3"/>
      <c r="I46" s="3"/>
      <c r="J46" s="3"/>
    </row>
    <row r="47" spans="1:10" x14ac:dyDescent="0.25">
      <c r="A47" s="50"/>
      <c r="B47" s="50" t="s">
        <v>24</v>
      </c>
      <c r="C47" s="50"/>
      <c r="D47" s="50"/>
      <c r="E47" s="51">
        <f>E46*0.05</f>
        <v>79.47075000000001</v>
      </c>
      <c r="F47" s="6"/>
      <c r="G47" s="3"/>
      <c r="H47" s="3"/>
      <c r="I47" s="3"/>
      <c r="J47" s="3"/>
    </row>
    <row r="48" spans="1:10" x14ac:dyDescent="0.25">
      <c r="A48" s="50"/>
      <c r="B48" s="50" t="s">
        <v>25</v>
      </c>
      <c r="C48" s="50"/>
      <c r="D48" s="50"/>
      <c r="E48" s="51">
        <f>E46*0.16</f>
        <v>254.3064</v>
      </c>
      <c r="F48" s="3"/>
      <c r="G48" s="3"/>
      <c r="H48" s="3"/>
      <c r="I48" s="3"/>
      <c r="J48" s="3"/>
    </row>
    <row r="49" spans="1:10" x14ac:dyDescent="0.25">
      <c r="A49" s="80"/>
      <c r="B49" s="78" t="s">
        <v>82</v>
      </c>
      <c r="C49" s="80"/>
      <c r="D49" s="80"/>
      <c r="E49" s="81"/>
      <c r="F49" s="3"/>
      <c r="G49" s="7"/>
      <c r="H49" s="8"/>
      <c r="I49" s="3"/>
      <c r="J49" s="3"/>
    </row>
    <row r="50" spans="1:10" x14ac:dyDescent="0.25">
      <c r="A50" s="80"/>
      <c r="B50" s="78" t="s">
        <v>26</v>
      </c>
      <c r="C50" s="78"/>
      <c r="D50" s="78"/>
      <c r="E50" s="79">
        <f>E46+E47-1</f>
        <v>1667.8857499999999</v>
      </c>
      <c r="F50" s="5"/>
      <c r="G50" s="5"/>
      <c r="H50" s="8"/>
      <c r="I50" s="5"/>
      <c r="J50" s="3"/>
    </row>
    <row r="51" spans="1:10" x14ac:dyDescent="0.25">
      <c r="A51" s="80"/>
      <c r="B51" s="78" t="s">
        <v>27</v>
      </c>
      <c r="C51" s="78"/>
      <c r="D51" s="78"/>
      <c r="E51" s="79">
        <f>E46+E48-3</f>
        <v>1840.7213999999999</v>
      </c>
      <c r="F51" s="5"/>
      <c r="G51" s="5"/>
      <c r="H51" s="8"/>
      <c r="I51" s="5"/>
      <c r="J51" s="3"/>
    </row>
    <row r="52" spans="1:10" x14ac:dyDescent="0.25">
      <c r="A52" s="82">
        <v>6</v>
      </c>
      <c r="B52" s="82" t="s">
        <v>56</v>
      </c>
      <c r="C52" s="82"/>
      <c r="D52" s="82"/>
      <c r="E52" s="83"/>
      <c r="F52" s="5"/>
      <c r="G52" s="5"/>
      <c r="H52" s="8"/>
      <c r="I52" s="5"/>
      <c r="J52" s="3"/>
    </row>
    <row r="53" spans="1:10" x14ac:dyDescent="0.25">
      <c r="A53" s="50"/>
      <c r="B53" s="50" t="s">
        <v>51</v>
      </c>
      <c r="C53" s="51">
        <f>178.58*1.15</f>
        <v>205.36699999999999</v>
      </c>
      <c r="D53" s="50">
        <v>6</v>
      </c>
      <c r="E53" s="51">
        <f>C53*D53</f>
        <v>1232.202</v>
      </c>
    </row>
    <row r="54" spans="1:10" x14ac:dyDescent="0.25">
      <c r="A54" s="50"/>
      <c r="B54" s="50" t="s">
        <v>52</v>
      </c>
      <c r="C54" s="51">
        <f>86.42*1.15</f>
        <v>99.382999999999996</v>
      </c>
      <c r="D54" s="50">
        <v>6</v>
      </c>
      <c r="E54" s="51">
        <f t="shared" ref="E54:E55" si="6">C54*D54</f>
        <v>596.298</v>
      </c>
    </row>
    <row r="55" spans="1:10" x14ac:dyDescent="0.25">
      <c r="A55" s="50"/>
      <c r="B55" s="123" t="s">
        <v>55</v>
      </c>
      <c r="C55" s="124">
        <f>88*1.15</f>
        <v>101.19999999999999</v>
      </c>
      <c r="D55" s="123">
        <v>6</v>
      </c>
      <c r="E55" s="124">
        <f t="shared" si="6"/>
        <v>607.19999999999993</v>
      </c>
    </row>
    <row r="56" spans="1:10" x14ac:dyDescent="0.25">
      <c r="A56" s="50"/>
      <c r="B56" s="50" t="s">
        <v>81</v>
      </c>
      <c r="C56" s="50"/>
      <c r="D56" s="50"/>
      <c r="E56" s="51">
        <f>E53+E54+E55</f>
        <v>2435.6999999999998</v>
      </c>
      <c r="F56" s="49"/>
    </row>
    <row r="57" spans="1:10" x14ac:dyDescent="0.25">
      <c r="A57" s="50"/>
      <c r="B57" s="50" t="s">
        <v>24</v>
      </c>
      <c r="C57" s="50"/>
      <c r="D57" s="50"/>
      <c r="E57" s="51">
        <f>E56*0.05</f>
        <v>121.785</v>
      </c>
    </row>
    <row r="58" spans="1:10" x14ac:dyDescent="0.25">
      <c r="A58" s="50"/>
      <c r="B58" s="50" t="s">
        <v>25</v>
      </c>
      <c r="C58" s="50"/>
      <c r="D58" s="50"/>
      <c r="E58" s="51">
        <f>E56*0.16</f>
        <v>389.71199999999999</v>
      </c>
    </row>
    <row r="59" spans="1:10" x14ac:dyDescent="0.25">
      <c r="A59" s="84"/>
      <c r="B59" s="82" t="s">
        <v>82</v>
      </c>
      <c r="C59" s="84"/>
      <c r="D59" s="84"/>
      <c r="E59" s="85"/>
    </row>
    <row r="60" spans="1:10" x14ac:dyDescent="0.25">
      <c r="A60" s="84"/>
      <c r="B60" s="82" t="s">
        <v>26</v>
      </c>
      <c r="C60" s="82"/>
      <c r="D60" s="82"/>
      <c r="E60" s="83">
        <f>E56+E57+6</f>
        <v>2563.4849999999997</v>
      </c>
    </row>
    <row r="61" spans="1:10" x14ac:dyDescent="0.25">
      <c r="A61" s="84"/>
      <c r="B61" s="82" t="s">
        <v>27</v>
      </c>
      <c r="C61" s="82"/>
      <c r="D61" s="82"/>
      <c r="E61" s="83">
        <f>E56+E58+3</f>
        <v>2828.4119999999998</v>
      </c>
    </row>
    <row r="62" spans="1:10" x14ac:dyDescent="0.25">
      <c r="A62" s="86">
        <v>7</v>
      </c>
      <c r="B62" s="86" t="s">
        <v>59</v>
      </c>
      <c r="C62" s="331"/>
      <c r="D62" s="332"/>
      <c r="E62" s="333"/>
    </row>
    <row r="63" spans="1:10" s="56" customFormat="1" x14ac:dyDescent="0.25">
      <c r="A63" s="50"/>
      <c r="B63" s="50" t="s">
        <v>57</v>
      </c>
      <c r="C63" s="51">
        <f>249.01*1.15</f>
        <v>286.36149999999998</v>
      </c>
      <c r="D63" s="50">
        <v>6</v>
      </c>
      <c r="E63" s="50">
        <f>C63*D63</f>
        <v>1718.1689999999999</v>
      </c>
    </row>
    <row r="64" spans="1:10" s="56" customFormat="1" x14ac:dyDescent="0.25">
      <c r="A64" s="50"/>
      <c r="B64" s="50" t="s">
        <v>44</v>
      </c>
      <c r="C64" s="51">
        <f>134*1.15</f>
        <v>154.1</v>
      </c>
      <c r="D64" s="50">
        <v>6</v>
      </c>
      <c r="E64" s="51">
        <f>C64*D64</f>
        <v>924.59999999999991</v>
      </c>
    </row>
    <row r="65" spans="1:5" s="56" customFormat="1" x14ac:dyDescent="0.25">
      <c r="A65" s="50"/>
      <c r="B65" s="50" t="s">
        <v>81</v>
      </c>
      <c r="C65" s="50"/>
      <c r="D65" s="50"/>
      <c r="E65" s="51">
        <f>E63+E64</f>
        <v>2642.7689999999998</v>
      </c>
    </row>
    <row r="66" spans="1:5" s="56" customFormat="1" x14ac:dyDescent="0.25">
      <c r="A66" s="50"/>
      <c r="B66" s="50" t="s">
        <v>24</v>
      </c>
      <c r="C66" s="50"/>
      <c r="D66" s="50"/>
      <c r="E66" s="51">
        <f>E65*0.05</f>
        <v>132.13845000000001</v>
      </c>
    </row>
    <row r="67" spans="1:5" s="56" customFormat="1" x14ac:dyDescent="0.25">
      <c r="A67" s="50"/>
      <c r="B67" s="50" t="s">
        <v>25</v>
      </c>
      <c r="C67" s="50"/>
      <c r="D67" s="50"/>
      <c r="E67" s="51">
        <f>E65*0.16</f>
        <v>422.84303999999997</v>
      </c>
    </row>
    <row r="68" spans="1:5" s="56" customFormat="1" x14ac:dyDescent="0.25">
      <c r="A68" s="87"/>
      <c r="B68" s="86" t="s">
        <v>82</v>
      </c>
      <c r="C68" s="87"/>
      <c r="D68" s="87"/>
      <c r="E68" s="87"/>
    </row>
    <row r="69" spans="1:5" s="56" customFormat="1" x14ac:dyDescent="0.25">
      <c r="A69" s="87"/>
      <c r="B69" s="86" t="s">
        <v>26</v>
      </c>
      <c r="C69" s="86"/>
      <c r="D69" s="86"/>
      <c r="E69" s="88">
        <f>E65+E66+7</f>
        <v>2781.9074499999997</v>
      </c>
    </row>
    <row r="70" spans="1:5" s="56" customFormat="1" x14ac:dyDescent="0.25">
      <c r="A70" s="87"/>
      <c r="B70" s="86" t="s">
        <v>27</v>
      </c>
      <c r="C70" s="86"/>
      <c r="D70" s="86"/>
      <c r="E70" s="88">
        <f>E65+E67+4</f>
        <v>3069.61204</v>
      </c>
    </row>
    <row r="71" spans="1:5" s="56" customFormat="1" x14ac:dyDescent="0.25">
      <c r="A71" s="53">
        <v>8</v>
      </c>
      <c r="B71" s="53" t="s">
        <v>60</v>
      </c>
      <c r="C71" s="334"/>
      <c r="D71" s="335"/>
      <c r="E71" s="336"/>
    </row>
    <row r="72" spans="1:5" s="56" customFormat="1" x14ac:dyDescent="0.25">
      <c r="A72" s="50"/>
      <c r="B72" s="123" t="s">
        <v>62</v>
      </c>
      <c r="C72" s="124">
        <f>2052.6*1.15</f>
        <v>2360.4899999999998</v>
      </c>
      <c r="D72" s="123">
        <v>2</v>
      </c>
      <c r="E72" s="123">
        <f>C72*D72</f>
        <v>4720.9799999999996</v>
      </c>
    </row>
    <row r="73" spans="1:5" s="56" customFormat="1" x14ac:dyDescent="0.25">
      <c r="A73" s="50"/>
      <c r="B73" s="123" t="s">
        <v>61</v>
      </c>
      <c r="C73" s="124">
        <f>2364*1.15</f>
        <v>2718.6</v>
      </c>
      <c r="D73" s="123">
        <v>3</v>
      </c>
      <c r="E73" s="124">
        <f>C73*D73</f>
        <v>8155.7999999999993</v>
      </c>
    </row>
    <row r="74" spans="1:5" s="56" customFormat="1" x14ac:dyDescent="0.25">
      <c r="A74" s="50"/>
      <c r="B74" s="50" t="s">
        <v>81</v>
      </c>
      <c r="C74" s="51"/>
      <c r="D74" s="50"/>
      <c r="E74" s="50">
        <f>SUM(E71:E73)</f>
        <v>12876.779999999999</v>
      </c>
    </row>
    <row r="75" spans="1:5" s="56" customFormat="1" x14ac:dyDescent="0.25">
      <c r="A75" s="50"/>
      <c r="B75" s="50" t="s">
        <v>24</v>
      </c>
      <c r="C75" s="51"/>
      <c r="D75" s="50"/>
      <c r="E75" s="51">
        <f>E74*0.05</f>
        <v>643.83899999999994</v>
      </c>
    </row>
    <row r="76" spans="1:5" s="56" customFormat="1" x14ac:dyDescent="0.25">
      <c r="A76" s="50"/>
      <c r="B76" s="50" t="s">
        <v>25</v>
      </c>
      <c r="C76" s="51"/>
      <c r="D76" s="50"/>
      <c r="E76" s="51">
        <f>E74*0.16</f>
        <v>2060.2847999999999</v>
      </c>
    </row>
    <row r="77" spans="1:5" s="56" customFormat="1" x14ac:dyDescent="0.25">
      <c r="A77" s="52"/>
      <c r="B77" s="53" t="s">
        <v>82</v>
      </c>
      <c r="C77" s="102"/>
      <c r="D77" s="52"/>
      <c r="E77" s="52"/>
    </row>
    <row r="78" spans="1:5" s="56" customFormat="1" x14ac:dyDescent="0.25">
      <c r="A78" s="52"/>
      <c r="B78" s="53" t="s">
        <v>26</v>
      </c>
      <c r="C78" s="54"/>
      <c r="D78" s="53"/>
      <c r="E78" s="54">
        <f>E74+E75+3</f>
        <v>13523.618999999999</v>
      </c>
    </row>
    <row r="79" spans="1:5" s="56" customFormat="1" x14ac:dyDescent="0.25">
      <c r="A79" s="52"/>
      <c r="B79" s="53" t="s">
        <v>27</v>
      </c>
      <c r="C79" s="54"/>
      <c r="D79" s="53"/>
      <c r="E79" s="54">
        <f>E74+E76+1</f>
        <v>14938.064799999998</v>
      </c>
    </row>
    <row r="80" spans="1:5" s="56" customFormat="1" x14ac:dyDescent="0.25">
      <c r="A80" s="89">
        <v>9</v>
      </c>
      <c r="B80" s="89" t="s">
        <v>63</v>
      </c>
      <c r="C80" s="328"/>
      <c r="D80" s="329"/>
      <c r="E80" s="330"/>
    </row>
    <row r="81" spans="1:5" s="56" customFormat="1" x14ac:dyDescent="0.25">
      <c r="A81" s="50"/>
      <c r="B81" s="123" t="s">
        <v>47</v>
      </c>
      <c r="C81" s="124">
        <f>943.35*1.15</f>
        <v>1084.8525</v>
      </c>
      <c r="D81" s="123">
        <v>7</v>
      </c>
      <c r="E81" s="123">
        <f>C81*D81</f>
        <v>7593.9674999999997</v>
      </c>
    </row>
    <row r="82" spans="1:5" s="56" customFormat="1" x14ac:dyDescent="0.25">
      <c r="A82" s="50"/>
      <c r="B82" s="50" t="s">
        <v>49</v>
      </c>
      <c r="C82" s="51">
        <f>199*1.15</f>
        <v>228.85</v>
      </c>
      <c r="D82" s="50">
        <v>7</v>
      </c>
      <c r="E82" s="50">
        <f t="shared" ref="E82:E84" si="7">C82*D82</f>
        <v>1601.95</v>
      </c>
    </row>
    <row r="83" spans="1:5" s="56" customFormat="1" x14ac:dyDescent="0.25">
      <c r="A83" s="50"/>
      <c r="B83" s="50" t="s">
        <v>48</v>
      </c>
      <c r="C83" s="51">
        <f>85.73*1.15</f>
        <v>98.589500000000001</v>
      </c>
      <c r="D83" s="50">
        <v>7</v>
      </c>
      <c r="E83" s="50">
        <f t="shared" si="7"/>
        <v>690.12649999999996</v>
      </c>
    </row>
    <row r="84" spans="1:5" s="56" customFormat="1" x14ac:dyDescent="0.25">
      <c r="A84" s="50"/>
      <c r="B84" s="123" t="s">
        <v>55</v>
      </c>
      <c r="C84" s="124">
        <f>88*1.15</f>
        <v>101.19999999999999</v>
      </c>
      <c r="D84" s="123">
        <v>5</v>
      </c>
      <c r="E84" s="123">
        <f t="shared" si="7"/>
        <v>505.99999999999994</v>
      </c>
    </row>
    <row r="85" spans="1:5" s="56" customFormat="1" x14ac:dyDescent="0.25">
      <c r="A85" s="50"/>
      <c r="B85" s="50" t="s">
        <v>81</v>
      </c>
      <c r="C85" s="51"/>
      <c r="D85" s="50"/>
      <c r="E85" s="50">
        <f>SUM(E81:E84)</f>
        <v>10392.044</v>
      </c>
    </row>
    <row r="86" spans="1:5" s="56" customFormat="1" x14ac:dyDescent="0.25">
      <c r="A86" s="50"/>
      <c r="B86" s="50" t="s">
        <v>24</v>
      </c>
      <c r="C86" s="51"/>
      <c r="D86" s="50"/>
      <c r="E86" s="51">
        <f>E85*0.05</f>
        <v>519.60220000000004</v>
      </c>
    </row>
    <row r="87" spans="1:5" s="56" customFormat="1" x14ac:dyDescent="0.25">
      <c r="A87" s="50"/>
      <c r="B87" s="50" t="s">
        <v>25</v>
      </c>
      <c r="C87" s="51"/>
      <c r="D87" s="50"/>
      <c r="E87" s="51">
        <f>E85*0.16</f>
        <v>1662.72704</v>
      </c>
    </row>
    <row r="88" spans="1:5" s="56" customFormat="1" x14ac:dyDescent="0.25">
      <c r="A88" s="74"/>
      <c r="B88" s="89" t="s">
        <v>82</v>
      </c>
      <c r="C88" s="74"/>
      <c r="D88" s="74"/>
      <c r="E88" s="74"/>
    </row>
    <row r="89" spans="1:5" s="56" customFormat="1" x14ac:dyDescent="0.25">
      <c r="A89" s="74"/>
      <c r="B89" s="89" t="s">
        <v>26</v>
      </c>
      <c r="C89" s="89"/>
      <c r="D89" s="89"/>
      <c r="E89" s="90">
        <f>E85+E86</f>
        <v>10911.646199999999</v>
      </c>
    </row>
    <row r="90" spans="1:5" s="56" customFormat="1" x14ac:dyDescent="0.25">
      <c r="A90" s="74"/>
      <c r="B90" s="89" t="s">
        <v>27</v>
      </c>
      <c r="C90" s="89"/>
      <c r="D90" s="89"/>
      <c r="E90" s="90">
        <f>E85+E87+5</f>
        <v>12059.77104</v>
      </c>
    </row>
  </sheetData>
  <mergeCells count="7">
    <mergeCell ref="C80:E80"/>
    <mergeCell ref="C62:E62"/>
    <mergeCell ref="C71:E71"/>
    <mergeCell ref="A1:H1"/>
    <mergeCell ref="A2:A3"/>
    <mergeCell ref="B2:B3"/>
    <mergeCell ref="C2:E2"/>
  </mergeCells>
  <pageMargins left="0.7" right="0.7" top="0.75" bottom="0.75" header="0.3" footer="0.3"/>
  <pageSetup paperSize="9" scale="98" orientation="portrait" r:id="rId1"/>
  <rowBreaks count="1" manualBreakCount="1">
    <brk id="5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view="pageBreakPreview" topLeftCell="A10" zoomScale="60" zoomScaleNormal="75" workbookViewId="0">
      <selection activeCell="C34" sqref="C34:D34"/>
    </sheetView>
  </sheetViews>
  <sheetFormatPr defaultRowHeight="15" x14ac:dyDescent="0.25"/>
  <cols>
    <col min="1" max="1" width="4.7109375" customWidth="1"/>
    <col min="2" max="2" width="45.7109375" customWidth="1"/>
    <col min="3" max="4" width="8.7109375" customWidth="1"/>
    <col min="5" max="5" width="9.5703125" customWidth="1"/>
    <col min="6" max="8" width="8.7109375" customWidth="1"/>
    <col min="9" max="9" width="9.85546875" customWidth="1"/>
    <col min="10" max="10" width="9.28515625" customWidth="1"/>
    <col min="11" max="14" width="8.7109375" customWidth="1"/>
    <col min="15" max="16" width="13.42578125" customWidth="1"/>
  </cols>
  <sheetData>
    <row r="1" spans="1:17" x14ac:dyDescent="0.25">
      <c r="A1" s="11"/>
      <c r="B1" s="12"/>
      <c r="C1" s="12"/>
      <c r="D1" s="12"/>
      <c r="E1" s="12"/>
      <c r="F1" s="12"/>
      <c r="G1" s="12"/>
      <c r="H1" s="12"/>
      <c r="I1" s="346"/>
      <c r="J1" s="346"/>
      <c r="K1" s="346"/>
      <c r="L1" s="346"/>
      <c r="M1" s="11"/>
      <c r="N1" s="11"/>
      <c r="O1" s="346"/>
      <c r="P1" s="346"/>
      <c r="Q1" s="346"/>
    </row>
    <row r="2" spans="1:17" ht="13.5" customHeight="1" x14ac:dyDescent="0.25">
      <c r="A2" s="11"/>
      <c r="B2" s="13"/>
      <c r="C2" s="13"/>
      <c r="D2" s="13"/>
      <c r="E2" s="13"/>
      <c r="F2" s="347"/>
      <c r="G2" s="347"/>
      <c r="H2" s="347"/>
      <c r="I2" s="11"/>
      <c r="J2" s="11"/>
      <c r="K2" s="11"/>
      <c r="L2" s="11"/>
      <c r="M2" s="11"/>
      <c r="N2" s="11"/>
      <c r="O2" s="11"/>
      <c r="P2" s="11"/>
      <c r="Q2" s="11"/>
    </row>
    <row r="3" spans="1:17" x14ac:dyDescent="0.25">
      <c r="A3" s="11"/>
      <c r="B3" s="346"/>
      <c r="C3" s="346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x14ac:dyDescent="0.25">
      <c r="A4" s="11"/>
      <c r="B4" s="348"/>
      <c r="C4" s="348"/>
      <c r="D4" s="348"/>
      <c r="E4" s="348"/>
      <c r="F4" s="349"/>
      <c r="G4" s="349"/>
      <c r="H4" s="349"/>
      <c r="I4" s="11"/>
      <c r="J4" s="11"/>
      <c r="K4" s="11"/>
      <c r="L4" s="11"/>
      <c r="M4" s="11"/>
      <c r="N4" s="11"/>
      <c r="O4" s="11"/>
      <c r="P4" s="11"/>
      <c r="Q4" s="11"/>
    </row>
    <row r="5" spans="1:17" x14ac:dyDescent="0.25">
      <c r="A5" s="11"/>
      <c r="B5" s="11"/>
      <c r="C5" s="14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x14ac:dyDescent="0.25">
      <c r="A6" s="350" t="s">
        <v>1</v>
      </c>
      <c r="B6" s="350"/>
      <c r="C6" s="350"/>
      <c r="D6" s="350"/>
      <c r="E6" s="350"/>
      <c r="F6" s="350"/>
      <c r="G6" s="350"/>
      <c r="H6" s="350"/>
      <c r="I6" s="11"/>
      <c r="J6" s="11"/>
      <c r="K6" s="11"/>
      <c r="L6" s="11"/>
      <c r="M6" s="11"/>
      <c r="N6" s="11"/>
      <c r="O6" s="11"/>
      <c r="P6" s="11"/>
      <c r="Q6" s="11"/>
    </row>
    <row r="7" spans="1:17" x14ac:dyDescent="0.25">
      <c r="A7" s="350" t="s">
        <v>33</v>
      </c>
      <c r="B7" s="350"/>
      <c r="C7" s="350"/>
      <c r="D7" s="350"/>
      <c r="E7" s="350"/>
      <c r="F7" s="350"/>
      <c r="G7" s="350"/>
      <c r="H7" s="350"/>
      <c r="I7" s="11"/>
      <c r="J7" s="11"/>
      <c r="K7" s="11"/>
      <c r="L7" s="11"/>
      <c r="M7" s="11"/>
      <c r="N7" s="11"/>
    </row>
    <row r="8" spans="1:17" ht="15.75" customHeight="1" x14ac:dyDescent="0.25">
      <c r="A8" s="357" t="s">
        <v>36</v>
      </c>
      <c r="B8" s="357"/>
      <c r="C8" s="357"/>
      <c r="D8" s="357"/>
      <c r="E8" s="357"/>
      <c r="F8" s="357"/>
      <c r="G8" s="357"/>
      <c r="H8" s="357"/>
      <c r="I8" s="11"/>
      <c r="J8" s="11"/>
      <c r="K8" s="11"/>
      <c r="L8" s="11"/>
      <c r="M8" s="11"/>
      <c r="N8" s="11"/>
    </row>
    <row r="9" spans="1:17" x14ac:dyDescent="0.25">
      <c r="A9" s="349" t="s">
        <v>80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</row>
    <row r="10" spans="1:17" x14ac:dyDescent="0.25">
      <c r="A10" s="358" t="s">
        <v>2</v>
      </c>
      <c r="B10" s="358"/>
      <c r="C10" s="358"/>
      <c r="D10" s="358"/>
      <c r="E10" s="358"/>
      <c r="F10" s="358"/>
      <c r="G10" s="358"/>
      <c r="H10" s="358"/>
      <c r="I10" s="11"/>
      <c r="J10" s="11"/>
      <c r="K10" s="11"/>
      <c r="L10" s="11"/>
      <c r="M10" s="11"/>
      <c r="N10" s="11"/>
    </row>
    <row r="11" spans="1:17" ht="24.75" customHeight="1" x14ac:dyDescent="0.25">
      <c r="A11" s="354" t="s">
        <v>3</v>
      </c>
      <c r="B11" s="360" t="s">
        <v>29</v>
      </c>
      <c r="C11" s="363" t="s">
        <v>64</v>
      </c>
      <c r="D11" s="363"/>
      <c r="E11" s="356" t="s">
        <v>65</v>
      </c>
      <c r="F11" s="356"/>
      <c r="G11" s="364" t="s">
        <v>66</v>
      </c>
      <c r="H11" s="364"/>
      <c r="I11" s="363" t="s">
        <v>67</v>
      </c>
      <c r="J11" s="363"/>
      <c r="K11" s="356" t="s">
        <v>68</v>
      </c>
      <c r="L11" s="356"/>
      <c r="M11" s="369" t="s">
        <v>69</v>
      </c>
      <c r="N11" s="369"/>
      <c r="O11" s="354" t="s">
        <v>71</v>
      </c>
      <c r="P11" s="356" t="s">
        <v>72</v>
      </c>
    </row>
    <row r="12" spans="1:17" ht="15" customHeight="1" x14ac:dyDescent="0.25">
      <c r="A12" s="359"/>
      <c r="B12" s="361"/>
      <c r="C12" s="363"/>
      <c r="D12" s="363"/>
      <c r="E12" s="356"/>
      <c r="F12" s="356"/>
      <c r="G12" s="364"/>
      <c r="H12" s="364"/>
      <c r="I12" s="363"/>
      <c r="J12" s="363"/>
      <c r="K12" s="356"/>
      <c r="L12" s="356"/>
      <c r="M12" s="369"/>
      <c r="N12" s="369"/>
      <c r="O12" s="355"/>
      <c r="P12" s="356"/>
    </row>
    <row r="13" spans="1:17" x14ac:dyDescent="0.25">
      <c r="A13" s="355"/>
      <c r="B13" s="362"/>
      <c r="C13" s="365" t="s">
        <v>73</v>
      </c>
      <c r="D13" s="366"/>
      <c r="E13" s="367" t="s">
        <v>73</v>
      </c>
      <c r="F13" s="368"/>
      <c r="G13" s="367" t="s">
        <v>73</v>
      </c>
      <c r="H13" s="368"/>
      <c r="I13" s="367" t="s">
        <v>73</v>
      </c>
      <c r="J13" s="368"/>
      <c r="K13" s="367" t="s">
        <v>73</v>
      </c>
      <c r="L13" s="368"/>
      <c r="M13" s="367" t="s">
        <v>73</v>
      </c>
      <c r="N13" s="368"/>
      <c r="O13" s="93" t="s">
        <v>23</v>
      </c>
      <c r="P13" s="94" t="s">
        <v>90</v>
      </c>
    </row>
    <row r="14" spans="1:17" x14ac:dyDescent="0.25">
      <c r="A14" s="16">
        <v>1</v>
      </c>
      <c r="B14" s="16" t="s">
        <v>4</v>
      </c>
      <c r="C14" s="95"/>
      <c r="D14" s="95"/>
      <c r="E14" s="96"/>
      <c r="F14" s="96"/>
      <c r="G14" s="96"/>
      <c r="H14" s="96"/>
      <c r="I14" s="95"/>
      <c r="J14" s="95"/>
      <c r="K14" s="96"/>
      <c r="L14" s="96"/>
      <c r="M14" s="96"/>
      <c r="N14" s="96"/>
      <c r="O14" s="96"/>
      <c r="P14" s="94"/>
    </row>
    <row r="15" spans="1:17" x14ac:dyDescent="0.25">
      <c r="A15" s="17"/>
      <c r="B15" s="17" t="s">
        <v>5</v>
      </c>
      <c r="C15" s="351">
        <f xml:space="preserve"> F46*6+1068</f>
        <v>8359.288946702829</v>
      </c>
      <c r="D15" s="352"/>
      <c r="E15" s="351">
        <f>F46*6+3312</f>
        <v>10603.288946702829</v>
      </c>
      <c r="F15" s="352"/>
      <c r="G15" s="351">
        <f>F46*6+2334</f>
        <v>9625.288946702829</v>
      </c>
      <c r="H15" s="352"/>
      <c r="I15" s="351">
        <f>F46*6+1920</f>
        <v>9211.288946702829</v>
      </c>
      <c r="J15" s="352"/>
      <c r="K15" s="351">
        <f>F46*6+1668</f>
        <v>8959.288946702829</v>
      </c>
      <c r="L15" s="352"/>
      <c r="M15" s="351">
        <f>F46*6+2563</f>
        <v>9854.288946702829</v>
      </c>
      <c r="N15" s="352"/>
      <c r="O15" s="95">
        <f>F46*5+13524</f>
        <v>19600.074122252357</v>
      </c>
      <c r="P15" s="97">
        <f>F46*21+10912</f>
        <v>36431.511313459901</v>
      </c>
    </row>
    <row r="16" spans="1:17" x14ac:dyDescent="0.25">
      <c r="A16" s="17"/>
      <c r="B16" s="17" t="s">
        <v>6</v>
      </c>
      <c r="C16" s="351">
        <f xml:space="preserve"> F47*6+1068</f>
        <v>6947.1418433845938</v>
      </c>
      <c r="D16" s="352"/>
      <c r="E16" s="351">
        <f>F47*6+3312</f>
        <v>9191.1418433845938</v>
      </c>
      <c r="F16" s="352"/>
      <c r="G16" s="351">
        <f>F47*6+2334</f>
        <v>8213.1418433845938</v>
      </c>
      <c r="H16" s="352"/>
      <c r="I16" s="351">
        <f>F47*6+1920</f>
        <v>7799.1418433845938</v>
      </c>
      <c r="J16" s="352"/>
      <c r="K16" s="351">
        <f>F47*6+1668</f>
        <v>7547.1418433845938</v>
      </c>
      <c r="L16" s="352"/>
      <c r="M16" s="351">
        <f>F47*6+2563</f>
        <v>8442.1418433845938</v>
      </c>
      <c r="N16" s="352"/>
      <c r="O16" s="95">
        <f>F47*5+13524</f>
        <v>18423.284869487161</v>
      </c>
      <c r="P16" s="97">
        <f t="shared" ref="P16:P18" si="0">F47*21+10912</f>
        <v>31488.99645184608</v>
      </c>
    </row>
    <row r="17" spans="1:17" x14ac:dyDescent="0.25">
      <c r="A17" s="17"/>
      <c r="B17" s="17" t="s">
        <v>7</v>
      </c>
      <c r="C17" s="351">
        <f xml:space="preserve"> F48*6+1068</f>
        <v>5743.108695652174</v>
      </c>
      <c r="D17" s="352"/>
      <c r="E17" s="351">
        <f>F48*6+3312</f>
        <v>7987.108695652174</v>
      </c>
      <c r="F17" s="352"/>
      <c r="G17" s="351">
        <f>F48*6+2334</f>
        <v>7009.108695652174</v>
      </c>
      <c r="H17" s="352"/>
      <c r="I17" s="351">
        <f>F48*6+1920</f>
        <v>6595.108695652174</v>
      </c>
      <c r="J17" s="352"/>
      <c r="K17" s="351">
        <f>F48*6+1668</f>
        <v>6343.108695652174</v>
      </c>
      <c r="L17" s="352"/>
      <c r="M17" s="351">
        <f>F48*6+2563</f>
        <v>7238.108695652174</v>
      </c>
      <c r="N17" s="352"/>
      <c r="O17" s="95">
        <f>F48*5+13524</f>
        <v>17419.92391304348</v>
      </c>
      <c r="P17" s="97">
        <f t="shared" si="0"/>
        <v>27274.880434782608</v>
      </c>
    </row>
    <row r="18" spans="1:17" x14ac:dyDescent="0.25">
      <c r="A18" s="17"/>
      <c r="B18" s="17" t="s">
        <v>8</v>
      </c>
      <c r="C18" s="351">
        <f xml:space="preserve"> F49*6+1068</f>
        <v>13287.183953663343</v>
      </c>
      <c r="D18" s="352"/>
      <c r="E18" s="351">
        <f>F49*6+3312</f>
        <v>15531.183953663343</v>
      </c>
      <c r="F18" s="352"/>
      <c r="G18" s="351">
        <f>F49*6+2334</f>
        <v>14553.183953663343</v>
      </c>
      <c r="H18" s="352"/>
      <c r="I18" s="351">
        <f>F49*6+1920</f>
        <v>14139.183953663343</v>
      </c>
      <c r="J18" s="352"/>
      <c r="K18" s="351">
        <f>F49*6+1668</f>
        <v>13887.183953663343</v>
      </c>
      <c r="L18" s="352"/>
      <c r="M18" s="351">
        <f>F49*6+2563</f>
        <v>14782.183953663343</v>
      </c>
      <c r="N18" s="352"/>
      <c r="O18" s="95">
        <f>F49*5+13524</f>
        <v>23706.653294719454</v>
      </c>
      <c r="P18" s="97">
        <f t="shared" si="0"/>
        <v>53679.143837821699</v>
      </c>
    </row>
    <row r="19" spans="1:17" x14ac:dyDescent="0.25">
      <c r="A19" s="16">
        <v>2</v>
      </c>
      <c r="B19" s="16" t="s">
        <v>9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7"/>
    </row>
    <row r="20" spans="1:17" x14ac:dyDescent="0.25">
      <c r="A20" s="17"/>
      <c r="B20" s="17" t="s">
        <v>5</v>
      </c>
      <c r="C20" s="351">
        <f>F51*6+1068</f>
        <v>9239.8444670841054</v>
      </c>
      <c r="D20" s="352"/>
      <c r="E20" s="351">
        <f>F51*6+3312</f>
        <v>11483.844467084105</v>
      </c>
      <c r="F20" s="352"/>
      <c r="G20" s="351">
        <f>F51*6+2334</f>
        <v>10505.844467084105</v>
      </c>
      <c r="H20" s="352"/>
      <c r="I20" s="351">
        <f>F51*6+1920</f>
        <v>10091.844467084105</v>
      </c>
      <c r="J20" s="352"/>
      <c r="K20" s="351">
        <f>F51*6+1668</f>
        <v>9839.8444670841054</v>
      </c>
      <c r="L20" s="352"/>
      <c r="M20" s="351">
        <f>F51*6+2563</f>
        <v>10734.844467084105</v>
      </c>
      <c r="N20" s="352"/>
      <c r="O20" s="95">
        <f>F51*5+13524</f>
        <v>20333.870389236756</v>
      </c>
      <c r="P20" s="97">
        <f>F51*21+10912</f>
        <v>39513.455634794373</v>
      </c>
    </row>
    <row r="21" spans="1:17" x14ac:dyDescent="0.25">
      <c r="A21" s="17"/>
      <c r="B21" s="17" t="s">
        <v>6</v>
      </c>
      <c r="C21" s="351">
        <f>F52*6+1068</f>
        <v>7841.0949898848912</v>
      </c>
      <c r="D21" s="352"/>
      <c r="E21" s="351">
        <f>F52*6+3312</f>
        <v>10085.094989884892</v>
      </c>
      <c r="F21" s="352"/>
      <c r="G21" s="351">
        <f>F52*6+2334</f>
        <v>9107.0949898848921</v>
      </c>
      <c r="H21" s="352"/>
      <c r="I21" s="351">
        <f>F52*6+1920</f>
        <v>8693.0949898848921</v>
      </c>
      <c r="J21" s="352"/>
      <c r="K21" s="351">
        <f>F52*6+1668</f>
        <v>8441.0949898848921</v>
      </c>
      <c r="L21" s="352"/>
      <c r="M21" s="351">
        <f>F52*6+2563</f>
        <v>9336.0949898848921</v>
      </c>
      <c r="N21" s="352"/>
      <c r="O21" s="95">
        <f>F52*5+13524</f>
        <v>19168.245824904076</v>
      </c>
      <c r="P21" s="97">
        <f t="shared" ref="P21:P23" si="1">F52*21+10912</f>
        <v>34617.832464597115</v>
      </c>
    </row>
    <row r="22" spans="1:17" x14ac:dyDescent="0.25">
      <c r="A22" s="17"/>
      <c r="B22" s="17" t="s">
        <v>7</v>
      </c>
      <c r="C22" s="351">
        <f>F53*6+1068</f>
        <v>6683.3197316171436</v>
      </c>
      <c r="D22" s="352"/>
      <c r="E22" s="351">
        <f>F53*6+3312</f>
        <v>8927.3197316171427</v>
      </c>
      <c r="F22" s="352"/>
      <c r="G22" s="351">
        <f>F53*6+2334</f>
        <v>7949.3197316171436</v>
      </c>
      <c r="H22" s="352"/>
      <c r="I22" s="351">
        <f>F53*6+1920</f>
        <v>7535.3197316171436</v>
      </c>
      <c r="J22" s="352"/>
      <c r="K22" s="351">
        <f>F53*6+1668</f>
        <v>7283.3197316171436</v>
      </c>
      <c r="L22" s="352"/>
      <c r="M22" s="351">
        <f>F53*6+2563</f>
        <v>8178.3197316171436</v>
      </c>
      <c r="N22" s="352"/>
      <c r="O22" s="95">
        <f>F53*5+13524</f>
        <v>18203.433109680955</v>
      </c>
      <c r="P22" s="97">
        <f t="shared" si="1"/>
        <v>30565.619060660003</v>
      </c>
    </row>
    <row r="23" spans="1:17" x14ac:dyDescent="0.25">
      <c r="A23" s="17"/>
      <c r="B23" s="17" t="s">
        <v>8</v>
      </c>
      <c r="C23" s="351">
        <f>F54*6+1068</f>
        <v>14203.749183239745</v>
      </c>
      <c r="D23" s="352"/>
      <c r="E23" s="351">
        <f>F54*6+3312</f>
        <v>16447.749183239743</v>
      </c>
      <c r="F23" s="352"/>
      <c r="G23" s="351">
        <f>F54*6+2334</f>
        <v>15469.749183239745</v>
      </c>
      <c r="H23" s="352"/>
      <c r="I23" s="351">
        <f>F54*6+1920</f>
        <v>15055.749183239745</v>
      </c>
      <c r="J23" s="352"/>
      <c r="K23" s="351">
        <f>F54*6+1668</f>
        <v>14803.749183239745</v>
      </c>
      <c r="L23" s="352"/>
      <c r="M23" s="351">
        <f>F54*6+2563</f>
        <v>15698.749183239745</v>
      </c>
      <c r="N23" s="352"/>
      <c r="O23" s="95">
        <f>F54*5+13524</f>
        <v>24470.457652699788</v>
      </c>
      <c r="P23" s="97">
        <f t="shared" si="1"/>
        <v>56887.122141339103</v>
      </c>
    </row>
    <row r="24" spans="1:17" x14ac:dyDescent="0.25">
      <c r="A24" s="16">
        <v>3</v>
      </c>
      <c r="B24" s="16" t="s">
        <v>10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7"/>
    </row>
    <row r="25" spans="1:17" x14ac:dyDescent="0.25">
      <c r="A25" s="17"/>
      <c r="B25" s="17" t="s">
        <v>5</v>
      </c>
      <c r="C25" s="351">
        <f>F56*6+1068</f>
        <v>9859.9582130753224</v>
      </c>
      <c r="D25" s="352"/>
      <c r="E25" s="351">
        <f>F56*6+3312</f>
        <v>12103.958213075322</v>
      </c>
      <c r="F25" s="352"/>
      <c r="G25" s="351">
        <f>F56*6+2334</f>
        <v>11125.958213075322</v>
      </c>
      <c r="H25" s="352"/>
      <c r="I25" s="351">
        <f>F56*6+1920</f>
        <v>10711.958213075322</v>
      </c>
      <c r="J25" s="352"/>
      <c r="K25" s="351">
        <f>F56*6+1668</f>
        <v>10459.958213075322</v>
      </c>
      <c r="L25" s="352"/>
      <c r="M25" s="351">
        <f>F56*6+2563</f>
        <v>11354.958213075322</v>
      </c>
      <c r="N25" s="352"/>
      <c r="O25" s="95">
        <f>F56*5+13524</f>
        <v>20850.631844229436</v>
      </c>
      <c r="P25" s="97">
        <f>F56*21+10912</f>
        <v>41683.853745763627</v>
      </c>
    </row>
    <row r="26" spans="1:17" x14ac:dyDescent="0.25">
      <c r="A26" s="17"/>
      <c r="B26" s="17" t="s">
        <v>6</v>
      </c>
      <c r="C26" s="351">
        <f>F57*6+1068</f>
        <v>8473.333150639377</v>
      </c>
      <c r="D26" s="352"/>
      <c r="E26" s="351">
        <f>F57*6+3312</f>
        <v>10717.333150639377</v>
      </c>
      <c r="F26" s="352"/>
      <c r="G26" s="351">
        <f>F57*6+2334</f>
        <v>9739.333150639377</v>
      </c>
      <c r="H26" s="352"/>
      <c r="I26" s="351">
        <f>F57*6+1920</f>
        <v>9325.333150639377</v>
      </c>
      <c r="J26" s="352"/>
      <c r="K26" s="351">
        <f>F57*6+1668</f>
        <v>9073.333150639377</v>
      </c>
      <c r="L26" s="352"/>
      <c r="M26" s="351">
        <f>F57*6+2563</f>
        <v>9968.333150639377</v>
      </c>
      <c r="N26" s="352"/>
      <c r="O26" s="95">
        <f>F57*5+13524</f>
        <v>19695.110958866149</v>
      </c>
      <c r="P26" s="97">
        <f t="shared" ref="P26:P28" si="2">F57*21+10912</f>
        <v>36830.666027237821</v>
      </c>
    </row>
    <row r="27" spans="1:17" x14ac:dyDescent="0.25">
      <c r="A27" s="17"/>
      <c r="B27" s="17" t="s">
        <v>7</v>
      </c>
      <c r="C27" s="351">
        <f>F58*6+1068</f>
        <v>7338.4814814814808</v>
      </c>
      <c r="D27" s="352"/>
      <c r="E27" s="351">
        <f>F58*6+3312</f>
        <v>9582.4814814814818</v>
      </c>
      <c r="F27" s="352"/>
      <c r="G27" s="351">
        <f>F58*6+2334</f>
        <v>8604.4814814814818</v>
      </c>
      <c r="H27" s="352"/>
      <c r="I27" s="351">
        <f>F58*6+1920</f>
        <v>8190.4814814814808</v>
      </c>
      <c r="J27" s="352"/>
      <c r="K27" s="351">
        <f>F58*6+1668</f>
        <v>7938.4814814814808</v>
      </c>
      <c r="L27" s="352"/>
      <c r="M27" s="351">
        <f>F58*6+2563</f>
        <v>8833.4814814814818</v>
      </c>
      <c r="N27" s="352"/>
      <c r="O27" s="95">
        <f>F58*5+13524</f>
        <v>18749.4012345679</v>
      </c>
      <c r="P27" s="97">
        <f t="shared" si="2"/>
        <v>32858.685185185182</v>
      </c>
    </row>
    <row r="28" spans="1:17" x14ac:dyDescent="0.25">
      <c r="A28" s="17"/>
      <c r="B28" s="17" t="s">
        <v>8</v>
      </c>
      <c r="C28" s="353">
        <f>F59*6+1068</f>
        <v>14883.44158684112</v>
      </c>
      <c r="D28" s="353"/>
      <c r="E28" s="351">
        <f>F59*6+3312</f>
        <v>17127.44158684112</v>
      </c>
      <c r="F28" s="352"/>
      <c r="G28" s="351">
        <f>F59*6+2334</f>
        <v>16149.44158684112</v>
      </c>
      <c r="H28" s="352"/>
      <c r="I28" s="351">
        <f>F59*6+1920</f>
        <v>15735.44158684112</v>
      </c>
      <c r="J28" s="352"/>
      <c r="K28" s="351">
        <f>F59*6+1668</f>
        <v>15483.44158684112</v>
      </c>
      <c r="L28" s="352"/>
      <c r="M28" s="351">
        <f>F59*6+2563</f>
        <v>16378.44158684112</v>
      </c>
      <c r="N28" s="352"/>
      <c r="O28" s="95">
        <f>F59*5+13524</f>
        <v>25036.867989034268</v>
      </c>
      <c r="P28" s="97">
        <f t="shared" si="2"/>
        <v>59266.045553943921</v>
      </c>
    </row>
    <row r="29" spans="1:17" ht="15" customHeight="1" x14ac:dyDescent="0.25">
      <c r="A29" s="109">
        <v>4</v>
      </c>
      <c r="B29" s="16" t="s">
        <v>83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7" ht="15" customHeight="1" x14ac:dyDescent="0.25">
      <c r="A30" s="17"/>
      <c r="B30" s="17" t="s">
        <v>84</v>
      </c>
      <c r="C30" s="344">
        <f>F61*6+1068</f>
        <v>4192.8554524495066</v>
      </c>
      <c r="D30" s="345"/>
      <c r="E30" s="344">
        <f>F61*6+3312</f>
        <v>6436.8554524495066</v>
      </c>
      <c r="F30" s="345"/>
      <c r="G30" s="344">
        <f>F61*6+2334</f>
        <v>5458.8554524495066</v>
      </c>
      <c r="H30" s="345"/>
      <c r="I30" s="344">
        <f>F61*6+1920</f>
        <v>5044.8554524495066</v>
      </c>
      <c r="J30" s="345"/>
      <c r="K30" s="344">
        <f>F61*6+1668</f>
        <v>4792.8554524495066</v>
      </c>
      <c r="L30" s="345"/>
      <c r="M30" s="344">
        <f>F61*6+2563</f>
        <v>5687.8554524495066</v>
      </c>
      <c r="N30" s="345"/>
      <c r="O30" s="111">
        <f>F61*5+13524</f>
        <v>16128.046210374589</v>
      </c>
      <c r="P30" s="119">
        <f>F61*21+10912</f>
        <v>21848.994083573274</v>
      </c>
      <c r="Q30" s="107"/>
    </row>
    <row r="31" spans="1:17" ht="15" customHeight="1" x14ac:dyDescent="0.25">
      <c r="A31" s="106"/>
      <c r="B31" s="17" t="s">
        <v>85</v>
      </c>
      <c r="C31" s="344">
        <f>F62*6+1068</f>
        <v>5118.6997951864305</v>
      </c>
      <c r="D31" s="345"/>
      <c r="E31" s="344">
        <f t="shared" ref="E31:E32" si="3">F62*6+3312</f>
        <v>7362.6997951864305</v>
      </c>
      <c r="F31" s="345"/>
      <c r="G31" s="344">
        <f t="shared" ref="G31:G32" si="4">F62*6+2334</f>
        <v>6384.6997951864305</v>
      </c>
      <c r="H31" s="345"/>
      <c r="I31" s="344">
        <f t="shared" ref="I31:I32" si="5">F62*6+1920</f>
        <v>5970.6997951864305</v>
      </c>
      <c r="J31" s="345"/>
      <c r="K31" s="344">
        <f t="shared" ref="K31:K32" si="6">F62*6+1668</f>
        <v>5718.6997951864305</v>
      </c>
      <c r="L31" s="345"/>
      <c r="M31" s="344">
        <f t="shared" ref="M31:M32" si="7">F62*6+2563</f>
        <v>6613.6997951864305</v>
      </c>
      <c r="N31" s="345"/>
      <c r="O31" s="111">
        <f>F62*5+13524</f>
        <v>16899.583162655359</v>
      </c>
      <c r="P31" s="119">
        <f t="shared" ref="P31:P32" si="8">F62*21+10912</f>
        <v>25089.449283152506</v>
      </c>
    </row>
    <row r="32" spans="1:17" x14ac:dyDescent="0.25">
      <c r="A32" s="106"/>
      <c r="B32" s="17" t="s">
        <v>86</v>
      </c>
      <c r="C32" s="344">
        <f>F63*6+1068</f>
        <v>3567.0039648411489</v>
      </c>
      <c r="D32" s="345"/>
      <c r="E32" s="344">
        <f t="shared" si="3"/>
        <v>5811.0039648411494</v>
      </c>
      <c r="F32" s="345"/>
      <c r="G32" s="344">
        <f t="shared" si="4"/>
        <v>4833.0039648411494</v>
      </c>
      <c r="H32" s="345"/>
      <c r="I32" s="344">
        <f t="shared" si="5"/>
        <v>4419.0039648411494</v>
      </c>
      <c r="J32" s="345"/>
      <c r="K32" s="344">
        <f t="shared" si="6"/>
        <v>4167.0039648411494</v>
      </c>
      <c r="L32" s="345"/>
      <c r="M32" s="344">
        <f t="shared" si="7"/>
        <v>5062.0039648411494</v>
      </c>
      <c r="N32" s="345"/>
      <c r="O32" s="111">
        <f>F63*5+13524</f>
        <v>15606.50330403429</v>
      </c>
      <c r="P32" s="119">
        <f t="shared" si="8"/>
        <v>19658.513876944024</v>
      </c>
    </row>
    <row r="33" spans="1:16" x14ac:dyDescent="0.25">
      <c r="A33" s="21"/>
      <c r="B33" s="21"/>
      <c r="C33" s="21"/>
      <c r="D33" s="21"/>
      <c r="E33" s="21"/>
      <c r="F33" s="21"/>
      <c r="G33" s="21"/>
      <c r="H33" s="21"/>
      <c r="I33" s="18"/>
      <c r="J33" s="18"/>
      <c r="K33" s="18"/>
      <c r="L33" s="18"/>
      <c r="M33" s="18"/>
      <c r="N33" s="11"/>
      <c r="O33" s="38"/>
      <c r="P33" s="105"/>
    </row>
    <row r="34" spans="1:16" x14ac:dyDescent="0.25">
      <c r="A34" s="48"/>
      <c r="B34" s="48"/>
      <c r="C34" s="371">
        <f>'Дамский заезд 2'!E12</f>
        <v>1068.3924999999999</v>
      </c>
      <c r="D34" s="371"/>
      <c r="E34" s="370">
        <f>'Дамский заезд 2'!E22</f>
        <v>3311.624675</v>
      </c>
      <c r="F34" s="370"/>
      <c r="G34" s="370">
        <f>'Дамский заезд 2'!E32</f>
        <v>2334.4629249999998</v>
      </c>
      <c r="H34" s="370"/>
      <c r="I34" s="370">
        <f>'Дамский заезд 2'!E41</f>
        <v>1919.925</v>
      </c>
      <c r="J34" s="370"/>
      <c r="K34" s="370">
        <f>'Дамский заезд 2'!E50</f>
        <v>1667.8857499999999</v>
      </c>
      <c r="L34" s="370"/>
      <c r="M34" s="370">
        <f>'Дамский заезд 2'!E60</f>
        <v>2563.4849999999997</v>
      </c>
      <c r="N34" s="370"/>
      <c r="O34" s="121">
        <f>'Дамский заезд 2'!E78</f>
        <v>13523.618999999999</v>
      </c>
      <c r="P34" s="122">
        <f>'Дамский заезд 2'!E89</f>
        <v>10911.646199999999</v>
      </c>
    </row>
    <row r="35" spans="1:16" x14ac:dyDescent="0.25">
      <c r="A35" s="11"/>
      <c r="B35" s="11" t="s">
        <v>78</v>
      </c>
      <c r="C35" s="11"/>
      <c r="D35" s="11"/>
      <c r="E35" s="11"/>
      <c r="F35" s="11"/>
      <c r="G35" s="11" t="s">
        <v>39</v>
      </c>
      <c r="H35" s="11"/>
      <c r="I35" s="11"/>
      <c r="J35" s="11"/>
      <c r="K35" s="11"/>
      <c r="L35" s="11"/>
      <c r="M35" s="11"/>
      <c r="N35" s="11"/>
      <c r="O35" s="38"/>
    </row>
    <row r="36" spans="1:16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39"/>
    </row>
    <row r="37" spans="1:16" x14ac:dyDescent="0.25">
      <c r="A37" s="11"/>
      <c r="B37" s="11" t="s">
        <v>11</v>
      </c>
      <c r="C37" s="11"/>
      <c r="D37" s="11"/>
      <c r="E37" s="11"/>
      <c r="F37" s="11"/>
      <c r="G37" s="11" t="s">
        <v>12</v>
      </c>
      <c r="H37" s="11"/>
      <c r="I37" s="11"/>
      <c r="J37" s="11"/>
      <c r="K37" s="11"/>
      <c r="L37" s="11"/>
      <c r="M37" s="11"/>
      <c r="N37" s="11"/>
      <c r="O37" s="38"/>
    </row>
    <row r="38" spans="1:16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38"/>
    </row>
    <row r="39" spans="1:16" x14ac:dyDescent="0.25">
      <c r="A39" s="11"/>
      <c r="B39" s="11" t="s">
        <v>13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38"/>
    </row>
    <row r="40" spans="1:16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38"/>
    </row>
    <row r="41" spans="1:16" x14ac:dyDescent="0.25">
      <c r="A41" s="11"/>
      <c r="B41" s="11" t="s">
        <v>14</v>
      </c>
      <c r="C41" s="11"/>
      <c r="D41" s="11"/>
      <c r="E41" s="11"/>
      <c r="F41" s="11"/>
      <c r="G41" s="11" t="s">
        <v>28</v>
      </c>
      <c r="H41" s="11"/>
      <c r="I41" s="11"/>
      <c r="J41" s="11"/>
      <c r="K41" s="11"/>
      <c r="L41" s="11"/>
      <c r="M41" s="11"/>
      <c r="N41" s="11"/>
      <c r="O41" s="39"/>
    </row>
    <row r="42" spans="1:16" x14ac:dyDescent="0.25">
      <c r="O42" s="38"/>
    </row>
    <row r="43" spans="1:16" x14ac:dyDescent="0.25">
      <c r="O43" s="38"/>
    </row>
    <row r="44" spans="1:16" x14ac:dyDescent="0.25">
      <c r="O44" s="38"/>
    </row>
    <row r="45" spans="1:16" ht="29.25" customHeight="1" x14ac:dyDescent="0.25">
      <c r="B45" s="91" t="s">
        <v>4</v>
      </c>
      <c r="C45" s="2"/>
      <c r="D45" t="s">
        <v>74</v>
      </c>
      <c r="E45" t="s">
        <v>76</v>
      </c>
      <c r="F45" t="s">
        <v>75</v>
      </c>
      <c r="O45" s="38"/>
    </row>
    <row r="46" spans="1:16" x14ac:dyDescent="0.25">
      <c r="B46" s="2" t="s">
        <v>5</v>
      </c>
      <c r="C46" s="2">
        <v>1689</v>
      </c>
      <c r="D46">
        <v>0.28051224129634605</v>
      </c>
      <c r="E46">
        <f>C46*D46</f>
        <v>473.7851755495285</v>
      </c>
      <c r="F46">
        <f>C46-E46</f>
        <v>1215.2148244504715</v>
      </c>
    </row>
    <row r="47" spans="1:16" x14ac:dyDescent="0.25">
      <c r="B47" s="2" t="s">
        <v>6</v>
      </c>
      <c r="C47" s="2">
        <v>1551</v>
      </c>
      <c r="D47">
        <v>0.36824179632660714</v>
      </c>
      <c r="E47">
        <f t="shared" ref="E47:E49" si="9">C47*D47</f>
        <v>571.14302610256766</v>
      </c>
      <c r="F47">
        <f t="shared" ref="F47:F63" si="10">C47-E47</f>
        <v>979.85697389743234</v>
      </c>
    </row>
    <row r="48" spans="1:16" x14ac:dyDescent="0.25">
      <c r="B48" s="2" t="s">
        <v>7</v>
      </c>
      <c r="C48" s="2">
        <v>1458</v>
      </c>
      <c r="D48">
        <v>0.46557971014492755</v>
      </c>
      <c r="E48">
        <f t="shared" si="9"/>
        <v>678.81521739130437</v>
      </c>
      <c r="F48">
        <f t="shared" si="10"/>
        <v>779.18478260869563</v>
      </c>
    </row>
    <row r="49" spans="2:6" x14ac:dyDescent="0.25">
      <c r="B49" s="2" t="s">
        <v>8</v>
      </c>
      <c r="C49" s="2">
        <v>2367</v>
      </c>
      <c r="D49">
        <v>0.13961526871825491</v>
      </c>
      <c r="E49">
        <f t="shared" si="9"/>
        <v>330.46934105610939</v>
      </c>
      <c r="F49">
        <f t="shared" si="10"/>
        <v>2036.5306589438906</v>
      </c>
    </row>
    <row r="50" spans="2:6" ht="30.75" customHeight="1" x14ac:dyDescent="0.25">
      <c r="B50" s="91" t="s">
        <v>9</v>
      </c>
      <c r="C50" s="2"/>
    </row>
    <row r="51" spans="2:6" x14ac:dyDescent="0.25">
      <c r="B51" s="2" t="s">
        <v>5</v>
      </c>
      <c r="C51" s="2">
        <v>1851</v>
      </c>
      <c r="D51">
        <v>0.26419552790526701</v>
      </c>
      <c r="E51">
        <f>C51*D51</f>
        <v>489.02592215264923</v>
      </c>
      <c r="F51">
        <f t="shared" si="10"/>
        <v>1361.9740778473508</v>
      </c>
    </row>
    <row r="52" spans="2:6" x14ac:dyDescent="0.25">
      <c r="B52" s="2" t="s">
        <v>6</v>
      </c>
      <c r="C52" s="2">
        <v>1712</v>
      </c>
      <c r="D52">
        <v>0.34062548774485102</v>
      </c>
      <c r="E52">
        <f t="shared" ref="E52:E54" si="11">C52*D52</f>
        <v>583.15083501918491</v>
      </c>
      <c r="F52">
        <f t="shared" si="10"/>
        <v>1128.8491649808152</v>
      </c>
    </row>
    <row r="53" spans="2:6" x14ac:dyDescent="0.25">
      <c r="B53" s="2" t="s">
        <v>7</v>
      </c>
      <c r="C53" s="2">
        <v>1620</v>
      </c>
      <c r="D53">
        <v>0.4222922086813638</v>
      </c>
      <c r="E53">
        <f t="shared" si="11"/>
        <v>684.11337806380936</v>
      </c>
      <c r="F53">
        <f t="shared" si="10"/>
        <v>935.88662193619064</v>
      </c>
    </row>
    <row r="54" spans="2:6" x14ac:dyDescent="0.25">
      <c r="B54" s="2" t="s">
        <v>8</v>
      </c>
      <c r="C54" s="2">
        <v>2529</v>
      </c>
      <c r="D54">
        <v>0.13432521528669147</v>
      </c>
      <c r="E54">
        <f t="shared" si="11"/>
        <v>339.70846946004275</v>
      </c>
      <c r="F54">
        <f t="shared" si="10"/>
        <v>2189.2915305399574</v>
      </c>
    </row>
    <row r="55" spans="2:6" ht="30.75" customHeight="1" x14ac:dyDescent="0.25">
      <c r="B55" s="91" t="s">
        <v>10</v>
      </c>
      <c r="C55" s="2"/>
    </row>
    <row r="56" spans="2:6" x14ac:dyDescent="0.25">
      <c r="B56" s="2" t="s">
        <v>5</v>
      </c>
      <c r="C56" s="2">
        <v>1964</v>
      </c>
      <c r="D56">
        <v>0.25390714417215526</v>
      </c>
      <c r="E56">
        <f>C56*D56</f>
        <v>498.67363115411291</v>
      </c>
      <c r="F56">
        <f t="shared" si="10"/>
        <v>1465.3263688458871</v>
      </c>
    </row>
    <row r="57" spans="2:6" x14ac:dyDescent="0.25">
      <c r="B57" s="2" t="s">
        <v>6</v>
      </c>
      <c r="C57" s="2">
        <v>1825</v>
      </c>
      <c r="D57">
        <v>0.32371386752151809</v>
      </c>
      <c r="E57">
        <f t="shared" ref="E57:E59" si="12">C57*D57</f>
        <v>590.7778082267705</v>
      </c>
      <c r="F57">
        <f t="shared" si="10"/>
        <v>1234.2221917732295</v>
      </c>
    </row>
    <row r="58" spans="2:6" x14ac:dyDescent="0.25">
      <c r="B58" s="2" t="s">
        <v>7</v>
      </c>
      <c r="C58" s="2">
        <v>1732</v>
      </c>
      <c r="D58">
        <v>0.39660493827160492</v>
      </c>
      <c r="E58">
        <f t="shared" si="12"/>
        <v>686.91975308641975</v>
      </c>
      <c r="F58">
        <f t="shared" si="10"/>
        <v>1045.0802469135801</v>
      </c>
    </row>
    <row r="59" spans="2:6" x14ac:dyDescent="0.25">
      <c r="B59" s="2" t="s">
        <v>8</v>
      </c>
      <c r="C59" s="2">
        <v>2642</v>
      </c>
      <c r="D59">
        <v>0.12847327864994193</v>
      </c>
      <c r="E59">
        <f t="shared" si="12"/>
        <v>339.4264021931466</v>
      </c>
      <c r="F59">
        <f t="shared" si="10"/>
        <v>2302.5735978068533</v>
      </c>
    </row>
    <row r="60" spans="2:6" x14ac:dyDescent="0.25">
      <c r="B60" s="2" t="s">
        <v>83</v>
      </c>
      <c r="C60" s="2"/>
    </row>
    <row r="61" spans="2:6" x14ac:dyDescent="0.25">
      <c r="B61" s="2" t="s">
        <v>84</v>
      </c>
      <c r="C61" s="2">
        <v>1188.226851815873</v>
      </c>
      <c r="D61">
        <v>0.561692078175976</v>
      </c>
      <c r="E61">
        <f>C61*D61</f>
        <v>667.41760974095519</v>
      </c>
      <c r="F61">
        <f t="shared" si="10"/>
        <v>520.80924207491785</v>
      </c>
    </row>
    <row r="62" spans="2:6" x14ac:dyDescent="0.25">
      <c r="B62" s="2" t="s">
        <v>85</v>
      </c>
      <c r="C62" s="2">
        <v>1349.8935184825398</v>
      </c>
      <c r="D62">
        <v>0.49987415800766805</v>
      </c>
      <c r="E62">
        <f t="shared" ref="E62:E63" si="13">C62*D62</f>
        <v>674.7768859514681</v>
      </c>
      <c r="F62">
        <f t="shared" si="10"/>
        <v>675.11663253107167</v>
      </c>
    </row>
    <row r="63" spans="2:6" x14ac:dyDescent="0.25">
      <c r="B63" s="2" t="s">
        <v>86</v>
      </c>
      <c r="C63" s="2">
        <v>1077.7453671714288</v>
      </c>
      <c r="D63">
        <v>0.61354446653760608</v>
      </c>
      <c r="E63">
        <f t="shared" si="13"/>
        <v>661.24470636457067</v>
      </c>
      <c r="F63">
        <f t="shared" si="10"/>
        <v>416.50066080685815</v>
      </c>
    </row>
  </sheetData>
  <mergeCells count="123">
    <mergeCell ref="M34:N34"/>
    <mergeCell ref="O1:Q1"/>
    <mergeCell ref="A9:P9"/>
    <mergeCell ref="M23:N23"/>
    <mergeCell ref="M25:N25"/>
    <mergeCell ref="M26:N26"/>
    <mergeCell ref="M27:N27"/>
    <mergeCell ref="M28:N28"/>
    <mergeCell ref="C34:D34"/>
    <mergeCell ref="E34:F34"/>
    <mergeCell ref="G34:H34"/>
    <mergeCell ref="I34:J34"/>
    <mergeCell ref="K34:L34"/>
    <mergeCell ref="K26:L26"/>
    <mergeCell ref="K27:L27"/>
    <mergeCell ref="K28:L28"/>
    <mergeCell ref="M15:N15"/>
    <mergeCell ref="M16:N16"/>
    <mergeCell ref="M17:N17"/>
    <mergeCell ref="M18:N18"/>
    <mergeCell ref="M20:N20"/>
    <mergeCell ref="M21:N21"/>
    <mergeCell ref="M22:N22"/>
    <mergeCell ref="K18:L18"/>
    <mergeCell ref="K20:L20"/>
    <mergeCell ref="K21:L21"/>
    <mergeCell ref="K22:L22"/>
    <mergeCell ref="K23:L23"/>
    <mergeCell ref="K25:L25"/>
    <mergeCell ref="I22:J22"/>
    <mergeCell ref="I23:J23"/>
    <mergeCell ref="I25:J25"/>
    <mergeCell ref="I26:J26"/>
    <mergeCell ref="I27:J27"/>
    <mergeCell ref="I28:J28"/>
    <mergeCell ref="I15:J15"/>
    <mergeCell ref="I16:J16"/>
    <mergeCell ref="I17:J17"/>
    <mergeCell ref="I18:J18"/>
    <mergeCell ref="I20:J20"/>
    <mergeCell ref="I21:J21"/>
    <mergeCell ref="G22:H22"/>
    <mergeCell ref="G23:H23"/>
    <mergeCell ref="G25:H25"/>
    <mergeCell ref="G26:H26"/>
    <mergeCell ref="G27:H27"/>
    <mergeCell ref="G28:H28"/>
    <mergeCell ref="G15:H15"/>
    <mergeCell ref="G16:H16"/>
    <mergeCell ref="G17:H17"/>
    <mergeCell ref="G18:H18"/>
    <mergeCell ref="G20:H20"/>
    <mergeCell ref="G21:H21"/>
    <mergeCell ref="E26:F26"/>
    <mergeCell ref="E27:F27"/>
    <mergeCell ref="E28:F28"/>
    <mergeCell ref="E15:F15"/>
    <mergeCell ref="E16:F16"/>
    <mergeCell ref="E17:F17"/>
    <mergeCell ref="E18:F18"/>
    <mergeCell ref="E20:F20"/>
    <mergeCell ref="E21:F21"/>
    <mergeCell ref="O11:O12"/>
    <mergeCell ref="P11:P12"/>
    <mergeCell ref="K15:L15"/>
    <mergeCell ref="K16:L16"/>
    <mergeCell ref="K17:L17"/>
    <mergeCell ref="A7:H7"/>
    <mergeCell ref="A8:H8"/>
    <mergeCell ref="A10:H10"/>
    <mergeCell ref="A11:A13"/>
    <mergeCell ref="B11:B13"/>
    <mergeCell ref="C11:D12"/>
    <mergeCell ref="E11:F12"/>
    <mergeCell ref="G11:H12"/>
    <mergeCell ref="I11:J12"/>
    <mergeCell ref="C13:D13"/>
    <mergeCell ref="E13:F13"/>
    <mergeCell ref="G13:H13"/>
    <mergeCell ref="I13:J13"/>
    <mergeCell ref="K13:L13"/>
    <mergeCell ref="M13:N13"/>
    <mergeCell ref="K11:L12"/>
    <mergeCell ref="M11:N12"/>
    <mergeCell ref="C15:D15"/>
    <mergeCell ref="I1:L1"/>
    <mergeCell ref="F2:H2"/>
    <mergeCell ref="B3:C3"/>
    <mergeCell ref="B4:E4"/>
    <mergeCell ref="F4:H4"/>
    <mergeCell ref="A6:H6"/>
    <mergeCell ref="C30:D30"/>
    <mergeCell ref="C31:D31"/>
    <mergeCell ref="K30:L30"/>
    <mergeCell ref="K31:L31"/>
    <mergeCell ref="C22:D22"/>
    <mergeCell ref="C23:D23"/>
    <mergeCell ref="C25:D25"/>
    <mergeCell ref="C26:D26"/>
    <mergeCell ref="C27:D27"/>
    <mergeCell ref="C28:D28"/>
    <mergeCell ref="C16:D16"/>
    <mergeCell ref="C17:D17"/>
    <mergeCell ref="C18:D18"/>
    <mergeCell ref="C20:D20"/>
    <mergeCell ref="C21:D21"/>
    <mergeCell ref="E22:F22"/>
    <mergeCell ref="E23:F23"/>
    <mergeCell ref="E25:F25"/>
    <mergeCell ref="K32:L32"/>
    <mergeCell ref="M30:N30"/>
    <mergeCell ref="M31:N31"/>
    <mergeCell ref="M32:N32"/>
    <mergeCell ref="C32:D32"/>
    <mergeCell ref="E30:F30"/>
    <mergeCell ref="E31:F31"/>
    <mergeCell ref="E32:F32"/>
    <mergeCell ref="G30:H30"/>
    <mergeCell ref="G31:H31"/>
    <mergeCell ref="G32:H32"/>
    <mergeCell ref="I30:J30"/>
    <mergeCell ref="I31:J31"/>
    <mergeCell ref="I32:J32"/>
  </mergeCells>
  <pageMargins left="0.7" right="0.7" top="0.75" bottom="0.75" header="0.3" footer="0.3"/>
  <pageSetup paperSize="9" scale="64" orientation="landscape" r:id="rId1"/>
  <rowBreaks count="1" manualBreakCount="1">
    <brk id="44" max="16383" man="1"/>
  </rowBreaks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"/>
  <sheetViews>
    <sheetView view="pageBreakPreview" zoomScale="75" zoomScaleSheetLayoutView="75" workbookViewId="0">
      <selection sqref="A1:XFD1048576"/>
    </sheetView>
  </sheetViews>
  <sheetFormatPr defaultRowHeight="15" x14ac:dyDescent="0.25"/>
  <cols>
    <col min="1" max="1" width="4.5703125" customWidth="1"/>
    <col min="2" max="2" width="45.7109375" customWidth="1"/>
    <col min="3" max="3" width="9.42578125" customWidth="1"/>
    <col min="4" max="4" width="8.7109375" customWidth="1"/>
    <col min="5" max="5" width="8.85546875" customWidth="1"/>
    <col min="6" max="7" width="9.42578125" customWidth="1"/>
    <col min="8" max="8" width="9.140625" customWidth="1"/>
    <col min="9" max="9" width="8.85546875" customWidth="1"/>
    <col min="10" max="10" width="9" customWidth="1"/>
    <col min="11" max="12" width="9.42578125" customWidth="1"/>
    <col min="13" max="13" width="9.140625" customWidth="1"/>
    <col min="14" max="14" width="9.42578125" customWidth="1"/>
    <col min="15" max="15" width="16" customWidth="1"/>
    <col min="16" max="16" width="13.85546875" customWidth="1"/>
    <col min="17" max="17" width="14.85546875" customWidth="1"/>
  </cols>
  <sheetData>
    <row r="1" spans="1:31" x14ac:dyDescent="0.25">
      <c r="A1" s="37" t="s">
        <v>17</v>
      </c>
      <c r="B1" s="12"/>
      <c r="C1" s="12"/>
      <c r="D1" s="12"/>
      <c r="E1" s="12"/>
      <c r="F1" s="12"/>
      <c r="G1" s="12"/>
      <c r="H1" s="12"/>
      <c r="I1" s="28"/>
      <c r="J1" s="12"/>
      <c r="K1" s="12"/>
      <c r="L1" s="12"/>
      <c r="M1" s="12"/>
      <c r="N1" s="12"/>
      <c r="O1" s="28" t="s">
        <v>0</v>
      </c>
      <c r="P1" s="12"/>
      <c r="Q1" s="12"/>
      <c r="R1" s="12"/>
      <c r="S1" s="12"/>
    </row>
    <row r="2" spans="1:31" ht="41.25" customHeight="1" x14ac:dyDescent="0.25">
      <c r="A2" s="24" t="s">
        <v>16</v>
      </c>
      <c r="B2" s="13"/>
      <c r="C2" s="13"/>
      <c r="D2" s="13"/>
      <c r="E2" s="347"/>
      <c r="F2" s="347"/>
      <c r="G2" s="347"/>
      <c r="H2" s="47"/>
      <c r="I2" s="390"/>
      <c r="J2" s="390"/>
      <c r="K2" s="390"/>
      <c r="L2" s="390"/>
      <c r="M2" s="390"/>
      <c r="N2" s="390"/>
      <c r="O2" s="388" t="s">
        <v>34</v>
      </c>
      <c r="P2" s="388"/>
      <c r="Q2" s="388"/>
      <c r="R2" s="13"/>
      <c r="S2" s="13"/>
    </row>
    <row r="3" spans="1:31" x14ac:dyDescent="0.25">
      <c r="A3" s="11"/>
      <c r="B3" s="12"/>
      <c r="C3" s="12"/>
      <c r="D3" s="12"/>
      <c r="E3" s="12"/>
      <c r="F3" s="12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31" x14ac:dyDescent="0.25">
      <c r="A4" s="11" t="s">
        <v>18</v>
      </c>
      <c r="B4" s="12"/>
      <c r="C4" s="12"/>
      <c r="D4" s="12"/>
      <c r="E4" s="12"/>
      <c r="F4" s="12"/>
      <c r="G4" s="12"/>
      <c r="H4" s="12"/>
      <c r="I4" s="11"/>
      <c r="J4" s="11"/>
      <c r="K4" s="11"/>
      <c r="L4" s="11"/>
      <c r="M4" s="11"/>
      <c r="N4" s="11"/>
      <c r="O4" s="11" t="s">
        <v>32</v>
      </c>
      <c r="P4" s="11"/>
      <c r="Q4" s="11"/>
      <c r="R4" s="11"/>
      <c r="S4" s="11"/>
    </row>
    <row r="5" spans="1:31" x14ac:dyDescent="0.25">
      <c r="A5" s="11"/>
      <c r="B5" s="11"/>
      <c r="C5" s="14"/>
      <c r="D5" s="14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31" ht="15.75" x14ac:dyDescent="0.25">
      <c r="A6" s="374" t="s">
        <v>1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</row>
    <row r="7" spans="1:31" ht="15.75" x14ac:dyDescent="0.25">
      <c r="A7" s="374" t="s">
        <v>33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</row>
    <row r="8" spans="1:31" ht="15.75" customHeight="1" x14ac:dyDescent="0.25">
      <c r="A8" s="375" t="s">
        <v>38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</row>
    <row r="9" spans="1:31" x14ac:dyDescent="0.25">
      <c r="A9" s="15"/>
      <c r="B9" s="15"/>
      <c r="C9" s="15"/>
      <c r="D9" s="15"/>
      <c r="E9" s="15"/>
      <c r="F9" s="15"/>
      <c r="G9" s="15"/>
      <c r="H9" s="15"/>
      <c r="I9" s="11"/>
      <c r="J9" s="11"/>
      <c r="K9" s="11"/>
      <c r="L9" s="11"/>
      <c r="M9" s="11"/>
      <c r="N9" s="11"/>
    </row>
    <row r="10" spans="1:31" x14ac:dyDescent="0.25">
      <c r="A10" s="389" t="s">
        <v>79</v>
      </c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</row>
    <row r="11" spans="1:31" ht="30.75" customHeight="1" x14ac:dyDescent="0.25">
      <c r="A11" s="378" t="s">
        <v>3</v>
      </c>
      <c r="B11" s="381" t="s">
        <v>29</v>
      </c>
      <c r="C11" s="363" t="s">
        <v>64</v>
      </c>
      <c r="D11" s="363"/>
      <c r="E11" s="356" t="s">
        <v>65</v>
      </c>
      <c r="F11" s="356"/>
      <c r="G11" s="356" t="s">
        <v>66</v>
      </c>
      <c r="H11" s="356"/>
      <c r="I11" s="363" t="s">
        <v>67</v>
      </c>
      <c r="J11" s="363"/>
      <c r="K11" s="356" t="s">
        <v>68</v>
      </c>
      <c r="L11" s="356"/>
      <c r="M11" s="356" t="s">
        <v>69</v>
      </c>
      <c r="N11" s="356"/>
      <c r="O11" s="356" t="s">
        <v>70</v>
      </c>
      <c r="P11" s="354" t="s">
        <v>71</v>
      </c>
      <c r="Q11" s="356" t="s">
        <v>72</v>
      </c>
    </row>
    <row r="12" spans="1:31" ht="24.75" customHeight="1" x14ac:dyDescent="0.25">
      <c r="A12" s="379"/>
      <c r="B12" s="382"/>
      <c r="C12" s="363"/>
      <c r="D12" s="363"/>
      <c r="E12" s="356"/>
      <c r="F12" s="356"/>
      <c r="G12" s="356"/>
      <c r="H12" s="356"/>
      <c r="I12" s="363"/>
      <c r="J12" s="363"/>
      <c r="K12" s="356"/>
      <c r="L12" s="356"/>
      <c r="M12" s="356"/>
      <c r="N12" s="356"/>
      <c r="O12" s="356"/>
      <c r="P12" s="355"/>
      <c r="Q12" s="356"/>
    </row>
    <row r="13" spans="1:31" ht="17.25" customHeight="1" x14ac:dyDescent="0.25">
      <c r="A13" s="380"/>
      <c r="B13" s="383"/>
      <c r="C13" s="365" t="s">
        <v>73</v>
      </c>
      <c r="D13" s="366"/>
      <c r="E13" s="367" t="s">
        <v>73</v>
      </c>
      <c r="F13" s="368"/>
      <c r="G13" s="367" t="s">
        <v>73</v>
      </c>
      <c r="H13" s="368"/>
      <c r="I13" s="367" t="s">
        <v>73</v>
      </c>
      <c r="J13" s="368"/>
      <c r="K13" s="367" t="s">
        <v>73</v>
      </c>
      <c r="L13" s="368"/>
      <c r="M13" s="367" t="s">
        <v>73</v>
      </c>
      <c r="N13" s="368"/>
      <c r="O13" s="93" t="s">
        <v>73</v>
      </c>
      <c r="P13" s="93" t="s">
        <v>23</v>
      </c>
      <c r="Q13" s="93" t="s">
        <v>90</v>
      </c>
    </row>
    <row r="14" spans="1:31" x14ac:dyDescent="0.25">
      <c r="A14" s="25">
        <v>1</v>
      </c>
      <c r="B14" s="25" t="s">
        <v>4</v>
      </c>
      <c r="C14" s="26"/>
      <c r="D14" s="26"/>
      <c r="E14" s="27"/>
      <c r="F14" s="27"/>
      <c r="G14" s="27"/>
      <c r="H14" s="27"/>
      <c r="I14" s="26"/>
      <c r="J14" s="26"/>
      <c r="K14" s="27"/>
      <c r="L14" s="27"/>
      <c r="M14" s="27"/>
      <c r="N14" s="27"/>
      <c r="O14" s="27"/>
      <c r="P14" s="27"/>
      <c r="Q14" s="2"/>
    </row>
    <row r="15" spans="1:31" x14ac:dyDescent="0.25">
      <c r="A15" s="36"/>
      <c r="B15" s="36" t="s">
        <v>5</v>
      </c>
      <c r="C15" s="376">
        <f>C17+4856/21*6</f>
        <v>2536.0503105590064</v>
      </c>
      <c r="D15" s="377"/>
      <c r="E15" s="376">
        <f t="shared" ref="E15" si="0">E17+4856/21*6</f>
        <v>2984.8503105590062</v>
      </c>
      <c r="F15" s="377"/>
      <c r="G15" s="376">
        <f t="shared" ref="G15" si="1">G17+4856/21*6</f>
        <v>2789.2503105590067</v>
      </c>
      <c r="H15" s="377"/>
      <c r="I15" s="376">
        <f t="shared" ref="I15" si="2">I17+4856/21*6</f>
        <v>2706.4503105590065</v>
      </c>
      <c r="J15" s="377"/>
      <c r="K15" s="376">
        <f t="shared" ref="K15" si="3">K17+4856/21*6</f>
        <v>2656.0503105590064</v>
      </c>
      <c r="L15" s="377"/>
      <c r="M15" s="376">
        <f t="shared" ref="M15:O15" si="4">M17+4856/21*6</f>
        <v>2835.0503105590064</v>
      </c>
      <c r="N15" s="377"/>
      <c r="O15" s="98">
        <f t="shared" si="4"/>
        <v>4871.4133540372677</v>
      </c>
      <c r="P15" s="98">
        <f>P17+4856/21*5</f>
        <v>6611.1665631469978</v>
      </c>
      <c r="Q15" s="98">
        <f>Q17+4856</f>
        <v>4856</v>
      </c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x14ac:dyDescent="0.25">
      <c r="A16" s="36"/>
      <c r="B16" s="36" t="s">
        <v>6</v>
      </c>
      <c r="C16" s="376">
        <f>C17+1945/21*6</f>
        <v>1704.3360248447207</v>
      </c>
      <c r="D16" s="377"/>
      <c r="E16" s="376">
        <f t="shared" ref="E16" si="5">E17+1945/21*6</f>
        <v>2153.1360248447209</v>
      </c>
      <c r="F16" s="377"/>
      <c r="G16" s="376">
        <f t="shared" ref="G16" si="6">G17+1945/21*6</f>
        <v>1957.5360248447207</v>
      </c>
      <c r="H16" s="377"/>
      <c r="I16" s="376">
        <f t="shared" ref="I16" si="7">I17+1945/21*6</f>
        <v>1874.7360248447208</v>
      </c>
      <c r="J16" s="377"/>
      <c r="K16" s="376">
        <f t="shared" ref="K16" si="8">K17+1945/21*6</f>
        <v>1824.3360248447207</v>
      </c>
      <c r="L16" s="377"/>
      <c r="M16" s="376">
        <f t="shared" ref="M16" si="9">M17+1945/21*6</f>
        <v>2003.3360248447207</v>
      </c>
      <c r="N16" s="377"/>
      <c r="O16" s="98">
        <f t="shared" ref="O16" si="10">O17+1945/21*6</f>
        <v>4039.6990683229819</v>
      </c>
      <c r="P16" s="98">
        <f>P17+1945/21*5</f>
        <v>5918.0713250517601</v>
      </c>
      <c r="Q16" s="98">
        <f>Q17+1945</f>
        <v>1945</v>
      </c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x14ac:dyDescent="0.25">
      <c r="A17" s="36"/>
      <c r="B17" s="36" t="s">
        <v>7</v>
      </c>
      <c r="C17" s="376">
        <f>'пол ст-ть ЛПК 2'!C17:D17*0.2</f>
        <v>1148.6217391304349</v>
      </c>
      <c r="D17" s="377"/>
      <c r="E17" s="376">
        <f>'пол ст-ть ЛПК 2'!E17:F17*0.2</f>
        <v>1597.4217391304348</v>
      </c>
      <c r="F17" s="377"/>
      <c r="G17" s="376">
        <f>'пол ст-ть ЛПК 2'!G17:H17*0.2</f>
        <v>1401.8217391304349</v>
      </c>
      <c r="H17" s="377"/>
      <c r="I17" s="376">
        <f>'пол ст-ть ЛПК 2'!I17:J17*0.2</f>
        <v>1319.021739130435</v>
      </c>
      <c r="J17" s="377"/>
      <c r="K17" s="376">
        <f>'пол ст-ть ЛПК 2'!K17:L17*0.2</f>
        <v>1268.6217391304349</v>
      </c>
      <c r="L17" s="377"/>
      <c r="M17" s="376">
        <f>'пол ст-ть ЛПК 2'!M17:N17*0.2</f>
        <v>1447.6217391304349</v>
      </c>
      <c r="N17" s="377"/>
      <c r="O17" s="98">
        <f>'пол ст-ть ЛПК 2'!O17:O17*0.2</f>
        <v>3483.9847826086962</v>
      </c>
      <c r="P17" s="98">
        <f>'пол ст-ть ЛПК 2'!O17:P17*0.2</f>
        <v>5454.9760869565216</v>
      </c>
      <c r="Q17" s="98">
        <f>'пол ст-ть ЛПК 2'!P17:Q17*0.2</f>
        <v>0</v>
      </c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x14ac:dyDescent="0.25">
      <c r="A18" s="27"/>
      <c r="B18" s="27" t="s">
        <v>8</v>
      </c>
      <c r="C18" s="384">
        <f>C17+19093/21*6</f>
        <v>6603.7645962732913</v>
      </c>
      <c r="D18" s="385"/>
      <c r="E18" s="384">
        <f t="shared" ref="E18" si="11">E17+19093/21*6</f>
        <v>7052.5645962732915</v>
      </c>
      <c r="F18" s="385"/>
      <c r="G18" s="384">
        <f t="shared" ref="G18" si="12">G17+19093/21*6</f>
        <v>6856.964596273292</v>
      </c>
      <c r="H18" s="385"/>
      <c r="I18" s="384">
        <f t="shared" ref="I18" si="13">I17+19093/21*6</f>
        <v>6774.1645962732919</v>
      </c>
      <c r="J18" s="385"/>
      <c r="K18" s="384">
        <f t="shared" ref="K18" si="14">K17+19093/21*6</f>
        <v>6723.7645962732913</v>
      </c>
      <c r="L18" s="385"/>
      <c r="M18" s="384">
        <f t="shared" ref="M18" si="15">M17+19093/21*6</f>
        <v>6902.7645962732913</v>
      </c>
      <c r="N18" s="385"/>
      <c r="O18" s="99">
        <f t="shared" ref="O18" si="16">O17+19093/21*6</f>
        <v>8939.1276397515539</v>
      </c>
      <c r="P18" s="99">
        <f>P17+19093/21*5</f>
        <v>10000.928467908903</v>
      </c>
      <c r="Q18" s="99">
        <f>Q17+19093</f>
        <v>19093</v>
      </c>
    </row>
    <row r="19" spans="1:31" x14ac:dyDescent="0.25">
      <c r="A19" s="25">
        <v>2</v>
      </c>
      <c r="B19" s="25" t="s">
        <v>9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118"/>
      <c r="R19" s="100"/>
    </row>
    <row r="20" spans="1:31" x14ac:dyDescent="0.25">
      <c r="A20" s="36"/>
      <c r="B20" s="36" t="s">
        <v>5</v>
      </c>
      <c r="C20" s="376">
        <f>C22+4856/21*6</f>
        <v>2724.0925177520003</v>
      </c>
      <c r="D20" s="377"/>
      <c r="E20" s="376">
        <f>E22+4856/21*6</f>
        <v>3172.8925177520005</v>
      </c>
      <c r="F20" s="377"/>
      <c r="G20" s="376">
        <f>G22+4856/21*6</f>
        <v>2977.2925177520001</v>
      </c>
      <c r="H20" s="377"/>
      <c r="I20" s="376">
        <f>I22+4856/21*6</f>
        <v>2894.4925177520004</v>
      </c>
      <c r="J20" s="377"/>
      <c r="K20" s="376">
        <f>K22+4856/21*6</f>
        <v>2844.0925177520003</v>
      </c>
      <c r="L20" s="377"/>
      <c r="M20" s="376">
        <f>M22+4856/21*6</f>
        <v>3023.0925177520003</v>
      </c>
      <c r="N20" s="377"/>
      <c r="O20" s="98">
        <f>O22+4856/21*6</f>
        <v>5028.1151933647625</v>
      </c>
      <c r="P20" s="98">
        <f>P22+4856/21*5</f>
        <v>7269.3142883224773</v>
      </c>
      <c r="Q20" s="98">
        <f>Q22+4586</f>
        <v>4586</v>
      </c>
      <c r="R20" s="100"/>
    </row>
    <row r="21" spans="1:31" x14ac:dyDescent="0.25">
      <c r="A21" s="36"/>
      <c r="B21" s="36" t="s">
        <v>6</v>
      </c>
      <c r="C21" s="376">
        <f>C22+1945/21*6</f>
        <v>1892.3782320377145</v>
      </c>
      <c r="D21" s="377"/>
      <c r="E21" s="376">
        <f>E22+1945/21*6</f>
        <v>2341.1782320377142</v>
      </c>
      <c r="F21" s="377"/>
      <c r="G21" s="376">
        <f>G22+1945/21*6</f>
        <v>2145.5782320377148</v>
      </c>
      <c r="H21" s="377"/>
      <c r="I21" s="376">
        <f>I22+1945/21*6</f>
        <v>2062.7782320377146</v>
      </c>
      <c r="J21" s="377"/>
      <c r="K21" s="376">
        <f>K22+1945/21*6</f>
        <v>2012.3782320377145</v>
      </c>
      <c r="L21" s="377"/>
      <c r="M21" s="376">
        <f>M22+1945/21*6</f>
        <v>2191.3782320377145</v>
      </c>
      <c r="N21" s="377"/>
      <c r="O21" s="98">
        <f>O22+1945/21*6</f>
        <v>4196.4009076504772</v>
      </c>
      <c r="P21" s="98">
        <f>P22+1945/21*5</f>
        <v>6576.2190502272388</v>
      </c>
      <c r="Q21" s="98">
        <f>Q22+1945</f>
        <v>1945</v>
      </c>
      <c r="R21" s="101"/>
    </row>
    <row r="22" spans="1:31" x14ac:dyDescent="0.25">
      <c r="A22" s="36"/>
      <c r="B22" s="36" t="s">
        <v>7</v>
      </c>
      <c r="C22" s="376">
        <f>'пол ст-ть ЛПК 2'!C22:D22*0.2</f>
        <v>1336.6639463234287</v>
      </c>
      <c r="D22" s="377"/>
      <c r="E22" s="376">
        <f>'пол ст-ть ЛПК 2'!E22:F22*0.2</f>
        <v>1785.4639463234287</v>
      </c>
      <c r="F22" s="377"/>
      <c r="G22" s="376">
        <f>'пол ст-ть ЛПК 2'!G22:H22*0.2</f>
        <v>1589.8639463234288</v>
      </c>
      <c r="H22" s="377"/>
      <c r="I22" s="376">
        <f>'пол ст-ть ЛПК 2'!I22:J22*0.2</f>
        <v>1507.0639463234288</v>
      </c>
      <c r="J22" s="377"/>
      <c r="K22" s="376">
        <f>'пол ст-ть ЛПК 2'!K22:L22*0.2</f>
        <v>1456.6639463234287</v>
      </c>
      <c r="L22" s="377"/>
      <c r="M22" s="376">
        <f>'пол ст-ть ЛПК 2'!M22:N22*0.2</f>
        <v>1635.6639463234287</v>
      </c>
      <c r="N22" s="377"/>
      <c r="O22" s="98">
        <f>'пол ст-ть ЛПК 2'!O22:O22*0.2</f>
        <v>3640.6866219361909</v>
      </c>
      <c r="P22" s="98">
        <f>'пол ст-ть ЛПК 2'!O22:P22*0.2</f>
        <v>6113.1238121320011</v>
      </c>
      <c r="Q22" s="98">
        <f>'пол ст-ть ЛПК 2'!P22:Q22*0.2</f>
        <v>0</v>
      </c>
      <c r="R22" s="100"/>
    </row>
    <row r="23" spans="1:31" x14ac:dyDescent="0.25">
      <c r="A23" s="27"/>
      <c r="B23" s="27" t="s">
        <v>8</v>
      </c>
      <c r="C23" s="386">
        <f>C22+19093/21*6</f>
        <v>6791.8068034662856</v>
      </c>
      <c r="D23" s="387"/>
      <c r="E23" s="386">
        <f>E22+19093/21*6</f>
        <v>7240.6068034662858</v>
      </c>
      <c r="F23" s="387"/>
      <c r="G23" s="386">
        <f>G22+19093/21*6</f>
        <v>7045.0068034662854</v>
      </c>
      <c r="H23" s="387"/>
      <c r="I23" s="386">
        <f>I22+19093/21*6</f>
        <v>6962.2068034662861</v>
      </c>
      <c r="J23" s="387"/>
      <c r="K23" s="386">
        <f>K22+19093/21*6</f>
        <v>6911.8068034662856</v>
      </c>
      <c r="L23" s="387"/>
      <c r="M23" s="386">
        <f>M22+19093/21*6</f>
        <v>7090.8068034662856</v>
      </c>
      <c r="N23" s="387"/>
      <c r="O23" s="99">
        <f>O22+19093/21*6</f>
        <v>9095.8294790790478</v>
      </c>
      <c r="P23" s="99">
        <f>P22+19093/21*5</f>
        <v>10659.076193084382</v>
      </c>
      <c r="Q23" s="99">
        <f>Q22+19093</f>
        <v>19093</v>
      </c>
      <c r="R23" s="100"/>
    </row>
    <row r="24" spans="1:31" x14ac:dyDescent="0.25">
      <c r="A24" s="25">
        <v>3</v>
      </c>
      <c r="B24" s="25" t="s">
        <v>10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118"/>
      <c r="R24" s="100"/>
    </row>
    <row r="25" spans="1:31" x14ac:dyDescent="0.25">
      <c r="A25" s="36"/>
      <c r="B25" s="36" t="s">
        <v>5</v>
      </c>
      <c r="C25" s="376">
        <f>C27+4856/21*6</f>
        <v>2855.1248677248677</v>
      </c>
      <c r="D25" s="377"/>
      <c r="E25" s="376">
        <f t="shared" ref="E25" si="17">E27+4856/21*6</f>
        <v>3303.9248677248679</v>
      </c>
      <c r="F25" s="377"/>
      <c r="G25" s="376">
        <f t="shared" ref="G25" si="18">G27+4856/21*6</f>
        <v>3108.324867724868</v>
      </c>
      <c r="H25" s="377"/>
      <c r="I25" s="376">
        <f t="shared" ref="I25" si="19">I27+4856/21*6</f>
        <v>3025.5248677248678</v>
      </c>
      <c r="J25" s="377"/>
      <c r="K25" s="376">
        <f t="shared" ref="K25" si="20">K27+4856/21*6</f>
        <v>2975.1248677248677</v>
      </c>
      <c r="L25" s="377"/>
      <c r="M25" s="376">
        <f t="shared" ref="M25:O25" si="21">M27+4856/21*6</f>
        <v>3154.1248677248677</v>
      </c>
      <c r="N25" s="377"/>
      <c r="O25" s="98">
        <f t="shared" si="21"/>
        <v>5137.3088183421514</v>
      </c>
      <c r="P25" s="98">
        <f>P27+4856/21*5</f>
        <v>7727.9275132275134</v>
      </c>
      <c r="Q25" s="98">
        <f>Q27+4856</f>
        <v>4856</v>
      </c>
    </row>
    <row r="26" spans="1:31" x14ac:dyDescent="0.25">
      <c r="A26" s="36"/>
      <c r="B26" s="36" t="s">
        <v>6</v>
      </c>
      <c r="C26" s="376">
        <f>C27+1945/21*6</f>
        <v>2023.4105820105819</v>
      </c>
      <c r="D26" s="377"/>
      <c r="E26" s="376">
        <f t="shared" ref="E26" si="22">E27+1945/21*6</f>
        <v>2472.2105820105821</v>
      </c>
      <c r="F26" s="377"/>
      <c r="G26" s="376">
        <f t="shared" ref="G26" si="23">G27+1945/21*6</f>
        <v>2276.6105820105822</v>
      </c>
      <c r="H26" s="377"/>
      <c r="I26" s="376">
        <f t="shared" ref="I26" si="24">I27+1945/21*6</f>
        <v>2193.810582010582</v>
      </c>
      <c r="J26" s="377"/>
      <c r="K26" s="376">
        <f t="shared" ref="K26" si="25">K27+1945/21*6</f>
        <v>2143.4105820105819</v>
      </c>
      <c r="L26" s="377"/>
      <c r="M26" s="376">
        <f t="shared" ref="M26" si="26">M27+1945/21*6</f>
        <v>2322.4105820105824</v>
      </c>
      <c r="N26" s="377"/>
      <c r="O26" s="98">
        <f t="shared" ref="O26" si="27">O27+1945/21*6</f>
        <v>4305.5945326278661</v>
      </c>
      <c r="P26" s="98">
        <f>P27+1945/21*5</f>
        <v>7034.8322751322758</v>
      </c>
      <c r="Q26" s="98">
        <f>Q27+1945</f>
        <v>1945</v>
      </c>
    </row>
    <row r="27" spans="1:31" x14ac:dyDescent="0.25">
      <c r="A27" s="36"/>
      <c r="B27" s="36" t="s">
        <v>7</v>
      </c>
      <c r="C27" s="376">
        <f>'пол ст-ть ЛПК 2'!C27:D27*0.2</f>
        <v>1467.6962962962962</v>
      </c>
      <c r="D27" s="377"/>
      <c r="E27" s="376">
        <f>'пол ст-ть ЛПК 2'!E27:F27*0.2</f>
        <v>1916.4962962962964</v>
      </c>
      <c r="F27" s="377"/>
      <c r="G27" s="376">
        <f>'пол ст-ть ЛПК 2'!G27:H27*0.2</f>
        <v>1720.8962962962964</v>
      </c>
      <c r="H27" s="377"/>
      <c r="I27" s="376">
        <f>'пол ст-ть ЛПК 2'!I27:J27*0.2</f>
        <v>1638.0962962962963</v>
      </c>
      <c r="J27" s="377"/>
      <c r="K27" s="376">
        <f>'пол ст-ть ЛПК 2'!K27:L27*0.2</f>
        <v>1587.6962962962962</v>
      </c>
      <c r="L27" s="377"/>
      <c r="M27" s="376">
        <f>'пол ст-ть ЛПК 2'!M27:N27*0.2</f>
        <v>1766.6962962962964</v>
      </c>
      <c r="N27" s="377"/>
      <c r="O27" s="98">
        <f>'пол ст-ть ЛПК 2'!O27:O27*0.2</f>
        <v>3749.8802469135803</v>
      </c>
      <c r="P27" s="98">
        <f>'пол ст-ть ЛПК 2'!O27:P27*0.2</f>
        <v>6571.7370370370372</v>
      </c>
      <c r="Q27" s="98">
        <f>'пол ст-ть ЛПК 2'!P27:Q27*0.2</f>
        <v>0</v>
      </c>
    </row>
    <row r="28" spans="1:31" x14ac:dyDescent="0.25">
      <c r="A28" s="27"/>
      <c r="B28" s="27" t="s">
        <v>8</v>
      </c>
      <c r="C28" s="384">
        <f>C27+19093/21*6</f>
        <v>6922.8391534391531</v>
      </c>
      <c r="D28" s="385"/>
      <c r="E28" s="384">
        <f t="shared" ref="E28" si="28">E27+19093/21*6</f>
        <v>7371.6391534391532</v>
      </c>
      <c r="F28" s="385"/>
      <c r="G28" s="384">
        <f t="shared" ref="G28" si="29">G27+19093/21*6</f>
        <v>7176.0391534391529</v>
      </c>
      <c r="H28" s="385"/>
      <c r="I28" s="384">
        <f t="shared" ref="I28" si="30">I27+19093/21*6</f>
        <v>7093.2391534391536</v>
      </c>
      <c r="J28" s="385"/>
      <c r="K28" s="384">
        <f t="shared" ref="K28" si="31">K27+19093/21*6</f>
        <v>7042.8391534391531</v>
      </c>
      <c r="L28" s="385"/>
      <c r="M28" s="384">
        <f t="shared" ref="M28" si="32">M27+19093/21*6</f>
        <v>7221.8391534391531</v>
      </c>
      <c r="N28" s="385"/>
      <c r="O28" s="99">
        <f t="shared" ref="O28" si="33">O27+19093/21*6</f>
        <v>9205.0231040564377</v>
      </c>
      <c r="P28" s="99">
        <f>P27+19093/21*5</f>
        <v>11117.689417989419</v>
      </c>
      <c r="Q28" s="99">
        <f>Q27+19093</f>
        <v>19093</v>
      </c>
    </row>
    <row r="29" spans="1:31" x14ac:dyDescent="0.25">
      <c r="A29" s="110">
        <v>4</v>
      </c>
      <c r="B29" s="25" t="s">
        <v>83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31" x14ac:dyDescent="0.25">
      <c r="A30" s="27"/>
      <c r="B30" s="27" t="s">
        <v>84</v>
      </c>
      <c r="C30" s="372">
        <f>'пол ст-ть ЛПК 2'!C30:D30*0.2</f>
        <v>838.57109048990139</v>
      </c>
      <c r="D30" s="373"/>
      <c r="E30" s="372">
        <f>'пол ст-ть ЛПК 2'!E30:F30*0.2</f>
        <v>1287.3710904899015</v>
      </c>
      <c r="F30" s="373"/>
      <c r="G30" s="372">
        <f>'пол ст-ть ЛПК 2'!G30:H30*0.2</f>
        <v>1091.7710904899013</v>
      </c>
      <c r="H30" s="373"/>
      <c r="I30" s="372">
        <f>'пол ст-ть ЛПК 2'!I30:J30*0.2</f>
        <v>1008.9710904899014</v>
      </c>
      <c r="J30" s="373"/>
      <c r="K30" s="372">
        <f>'пол ст-ть ЛПК 2'!K30:L30*0.2</f>
        <v>958.57109048990139</v>
      </c>
      <c r="L30" s="373"/>
      <c r="M30" s="372">
        <f>'пол ст-ть ЛПК 2'!M30:N30*0.2</f>
        <v>1137.5710904899013</v>
      </c>
      <c r="N30" s="373"/>
      <c r="O30" s="112">
        <f>'пол ст-ть ЛПК 2'!O30:O30*0.2</f>
        <v>3225.6092420749178</v>
      </c>
      <c r="P30" s="112">
        <f>'пол ст-ть ЛПК 2'!O30:P30*0.2</f>
        <v>4369.798816714655</v>
      </c>
      <c r="Q30" s="112">
        <f>'пол ст-ть ЛПК 2'!P30:Q30*0.2</f>
        <v>0</v>
      </c>
    </row>
    <row r="31" spans="1:31" x14ac:dyDescent="0.25">
      <c r="A31" s="108"/>
      <c r="B31" s="27" t="s">
        <v>85</v>
      </c>
      <c r="C31" s="372">
        <f>'пол ст-ть ЛПК 2'!C31:D31*0.2</f>
        <v>1023.7399590372861</v>
      </c>
      <c r="D31" s="373"/>
      <c r="E31" s="372">
        <f>'пол ст-ть ЛПК 2'!E31:F31*0.2</f>
        <v>1472.5399590372863</v>
      </c>
      <c r="F31" s="373"/>
      <c r="G31" s="372">
        <f>'пол ст-ть ЛПК 2'!G31:H31*0.2</f>
        <v>1276.9399590372861</v>
      </c>
      <c r="H31" s="373"/>
      <c r="I31" s="372">
        <f>'пол ст-ть ЛПК 2'!I31:J31*0.2</f>
        <v>1194.1399590372862</v>
      </c>
      <c r="J31" s="373"/>
      <c r="K31" s="372">
        <f>'пол ст-ть ЛПК 2'!K31:L31*0.2</f>
        <v>1143.7399590372861</v>
      </c>
      <c r="L31" s="373"/>
      <c r="M31" s="372">
        <f>'пол ст-ть ЛПК 2'!M31:N31*0.2</f>
        <v>1322.7399590372861</v>
      </c>
      <c r="N31" s="373"/>
      <c r="O31" s="112">
        <f>'пол ст-ть ЛПК 2'!O31:O31*0.2</f>
        <v>3379.9166325310721</v>
      </c>
      <c r="P31" s="112">
        <f>'пол ст-ть ЛПК 2'!O31:P31*0.2</f>
        <v>5017.8898566305015</v>
      </c>
      <c r="Q31" s="112">
        <f>'пол ст-ть ЛПК 2'!P31:Q31*0.2</f>
        <v>0</v>
      </c>
    </row>
    <row r="32" spans="1:31" x14ac:dyDescent="0.25">
      <c r="A32" s="108"/>
      <c r="B32" s="27" t="s">
        <v>86</v>
      </c>
      <c r="C32" s="372">
        <f>'пол ст-ть ЛПК 2'!C32:D32*0.2</f>
        <v>713.40079296822978</v>
      </c>
      <c r="D32" s="373"/>
      <c r="E32" s="372">
        <f>'пол ст-ть ЛПК 2'!E32:F32*0.2</f>
        <v>1162.20079296823</v>
      </c>
      <c r="F32" s="373"/>
      <c r="G32" s="372">
        <f>'пол ст-ть ЛПК 2'!G32:H32*0.2</f>
        <v>966.60079296822994</v>
      </c>
      <c r="H32" s="373"/>
      <c r="I32" s="372">
        <f>'пол ст-ть ЛПК 2'!I32:J32*0.2</f>
        <v>883.80079296822987</v>
      </c>
      <c r="J32" s="373"/>
      <c r="K32" s="372">
        <f>'пол ст-ть ЛПК 2'!K32:L32*0.2</f>
        <v>833.40079296822989</v>
      </c>
      <c r="L32" s="373"/>
      <c r="M32" s="372">
        <f>'пол ст-ть ЛПК 2'!M32:N32*0.2</f>
        <v>1012.4007929682299</v>
      </c>
      <c r="N32" s="373"/>
      <c r="O32" s="112">
        <f>'пол ст-ть ЛПК 2'!O32:O32*0.2</f>
        <v>3121.3006608068581</v>
      </c>
      <c r="P32" s="112">
        <f>'пол ст-ть ЛПК 2'!O32:P32*0.2</f>
        <v>3931.7027753888051</v>
      </c>
      <c r="Q32" s="112">
        <f>'пол ст-ть ЛПК 2'!P32:Q32*0.2</f>
        <v>0</v>
      </c>
    </row>
    <row r="33" spans="1:14" x14ac:dyDescent="0.25">
      <c r="A33" s="21"/>
      <c r="B33" s="21"/>
      <c r="C33" s="21"/>
      <c r="D33" s="21"/>
      <c r="E33" s="21"/>
      <c r="F33" s="21"/>
      <c r="G33" s="21"/>
      <c r="H33" s="21"/>
      <c r="I33" s="18"/>
      <c r="J33" s="18"/>
      <c r="K33" s="18"/>
      <c r="L33" s="18"/>
      <c r="M33" s="18"/>
      <c r="N33" s="11"/>
    </row>
    <row r="34" spans="1:14" x14ac:dyDescent="0.25">
      <c r="A34" s="48"/>
      <c r="B34" s="48"/>
      <c r="C34" s="48"/>
      <c r="D34" s="48"/>
      <c r="E34" s="48"/>
      <c r="F34" s="48"/>
      <c r="G34" s="48"/>
      <c r="H34" s="48"/>
      <c r="I34" s="11"/>
      <c r="J34" s="11"/>
      <c r="K34" s="11"/>
      <c r="L34" s="11"/>
      <c r="M34" s="11"/>
      <c r="N34" s="11"/>
    </row>
    <row r="35" spans="1:14" x14ac:dyDescent="0.25">
      <c r="A35" s="11"/>
      <c r="B35" s="11" t="s">
        <v>78</v>
      </c>
      <c r="C35" s="11"/>
      <c r="D35" s="11"/>
      <c r="E35" s="11"/>
      <c r="F35" s="11"/>
      <c r="G35" s="11" t="s">
        <v>39</v>
      </c>
      <c r="H35" s="11"/>
      <c r="I35" s="11"/>
      <c r="J35" s="11"/>
      <c r="K35" s="11"/>
      <c r="L35" s="11"/>
      <c r="M35" s="11"/>
      <c r="N35" s="11"/>
    </row>
    <row r="36" spans="1:14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x14ac:dyDescent="0.25">
      <c r="A37" s="11"/>
      <c r="B37" s="11" t="s">
        <v>11</v>
      </c>
      <c r="C37" s="11"/>
      <c r="D37" s="11"/>
      <c r="E37" s="11"/>
      <c r="F37" s="11"/>
      <c r="G37" s="11" t="s">
        <v>12</v>
      </c>
      <c r="H37" s="11"/>
      <c r="I37" s="11"/>
      <c r="J37" s="11"/>
      <c r="K37" s="11"/>
      <c r="L37" s="11"/>
      <c r="M37" s="11"/>
      <c r="N37" s="11"/>
    </row>
    <row r="38" spans="1:14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x14ac:dyDescent="0.25">
      <c r="A39" s="11"/>
      <c r="B39" s="11" t="s">
        <v>13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5" customHeight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5" customHeight="1" x14ac:dyDescent="0.25">
      <c r="A41" s="11"/>
      <c r="B41" s="11" t="s">
        <v>14</v>
      </c>
      <c r="C41" s="11"/>
      <c r="D41" s="11"/>
      <c r="E41" s="11"/>
      <c r="F41" s="11"/>
      <c r="G41" s="11" t="s">
        <v>28</v>
      </c>
      <c r="H41" s="11"/>
      <c r="I41" s="11"/>
      <c r="J41" s="11"/>
      <c r="K41" s="11"/>
      <c r="L41" s="11"/>
      <c r="M41" s="11"/>
      <c r="N41" s="11"/>
    </row>
    <row r="45" spans="1:14" x14ac:dyDescent="0.25">
      <c r="B45" s="1" t="s">
        <v>4</v>
      </c>
      <c r="C45" s="2"/>
    </row>
    <row r="46" spans="1:14" x14ac:dyDescent="0.25">
      <c r="B46" s="2" t="s">
        <v>5</v>
      </c>
      <c r="C46" s="2">
        <v>524</v>
      </c>
    </row>
    <row r="47" spans="1:14" x14ac:dyDescent="0.25">
      <c r="B47" s="2" t="s">
        <v>6</v>
      </c>
      <c r="C47" s="2">
        <v>399</v>
      </c>
      <c r="D47">
        <f>C47*10</f>
        <v>3990</v>
      </c>
    </row>
    <row r="48" spans="1:14" x14ac:dyDescent="0.25">
      <c r="B48" s="2" t="s">
        <v>7</v>
      </c>
      <c r="C48" s="2">
        <v>315</v>
      </c>
    </row>
    <row r="49" spans="2:3" x14ac:dyDescent="0.25">
      <c r="B49" s="2" t="s">
        <v>8</v>
      </c>
      <c r="C49" s="2">
        <v>1052</v>
      </c>
    </row>
    <row r="50" spans="2:3" x14ac:dyDescent="0.25">
      <c r="B50" s="1" t="s">
        <v>9</v>
      </c>
      <c r="C50" s="2"/>
    </row>
    <row r="51" spans="2:3" x14ac:dyDescent="0.25">
      <c r="B51" s="2" t="s">
        <v>5</v>
      </c>
      <c r="C51" s="2">
        <v>556</v>
      </c>
    </row>
    <row r="52" spans="2:3" x14ac:dyDescent="0.25">
      <c r="B52" s="2" t="s">
        <v>6</v>
      </c>
      <c r="C52" s="2">
        <v>431</v>
      </c>
    </row>
    <row r="53" spans="2:3" x14ac:dyDescent="0.25">
      <c r="B53" s="2" t="s">
        <v>7</v>
      </c>
      <c r="C53" s="2">
        <v>348</v>
      </c>
    </row>
    <row r="54" spans="2:3" x14ac:dyDescent="0.25">
      <c r="B54" s="2" t="s">
        <v>8</v>
      </c>
      <c r="C54" s="2">
        <v>1093</v>
      </c>
    </row>
    <row r="55" spans="2:3" x14ac:dyDescent="0.25">
      <c r="B55" s="1" t="s">
        <v>10</v>
      </c>
      <c r="C55" s="2"/>
    </row>
    <row r="56" spans="2:3" x14ac:dyDescent="0.25">
      <c r="B56" s="2" t="s">
        <v>5</v>
      </c>
      <c r="C56" s="2">
        <v>578</v>
      </c>
    </row>
    <row r="57" spans="2:3" x14ac:dyDescent="0.25">
      <c r="B57" s="2" t="s">
        <v>6</v>
      </c>
      <c r="C57" s="2">
        <v>454</v>
      </c>
    </row>
    <row r="58" spans="2:3" x14ac:dyDescent="0.25">
      <c r="B58" s="2" t="s">
        <v>7</v>
      </c>
      <c r="C58" s="2">
        <v>370</v>
      </c>
    </row>
    <row r="59" spans="2:3" x14ac:dyDescent="0.25">
      <c r="B59" s="2" t="s">
        <v>8</v>
      </c>
      <c r="C59" s="2">
        <v>1143</v>
      </c>
    </row>
  </sheetData>
  <mergeCells count="114">
    <mergeCell ref="O2:Q2"/>
    <mergeCell ref="A10:Q10"/>
    <mergeCell ref="M23:N23"/>
    <mergeCell ref="M25:N25"/>
    <mergeCell ref="M26:N26"/>
    <mergeCell ref="M15:N15"/>
    <mergeCell ref="M16:N16"/>
    <mergeCell ref="M17:N17"/>
    <mergeCell ref="M18:N18"/>
    <mergeCell ref="M20:N20"/>
    <mergeCell ref="M21:N21"/>
    <mergeCell ref="M22:N22"/>
    <mergeCell ref="K18:L18"/>
    <mergeCell ref="K20:L20"/>
    <mergeCell ref="K21:L21"/>
    <mergeCell ref="K22:L22"/>
    <mergeCell ref="K23:L23"/>
    <mergeCell ref="K25:L25"/>
    <mergeCell ref="I22:J22"/>
    <mergeCell ref="I23:J23"/>
    <mergeCell ref="I25:J25"/>
    <mergeCell ref="K13:L13"/>
    <mergeCell ref="E2:G2"/>
    <mergeCell ref="I2:N2"/>
    <mergeCell ref="M27:N27"/>
    <mergeCell ref="M28:N28"/>
    <mergeCell ref="K26:L26"/>
    <mergeCell ref="K27:L27"/>
    <mergeCell ref="K28:L28"/>
    <mergeCell ref="I26:J26"/>
    <mergeCell ref="I27:J27"/>
    <mergeCell ref="I28:J28"/>
    <mergeCell ref="I15:J15"/>
    <mergeCell ref="I16:J16"/>
    <mergeCell ref="I17:J17"/>
    <mergeCell ref="I18:J18"/>
    <mergeCell ref="I20:J20"/>
    <mergeCell ref="I21:J21"/>
    <mergeCell ref="E27:F27"/>
    <mergeCell ref="G28:H28"/>
    <mergeCell ref="G15:H15"/>
    <mergeCell ref="G16:H16"/>
    <mergeCell ref="G17:H17"/>
    <mergeCell ref="G18:H18"/>
    <mergeCell ref="G20:H20"/>
    <mergeCell ref="G21:H21"/>
    <mergeCell ref="G22:H22"/>
    <mergeCell ref="G23:H23"/>
    <mergeCell ref="G25:H25"/>
    <mergeCell ref="G26:H26"/>
    <mergeCell ref="G27:H27"/>
    <mergeCell ref="E28:F28"/>
    <mergeCell ref="E15:F15"/>
    <mergeCell ref="E16:F16"/>
    <mergeCell ref="E17:F17"/>
    <mergeCell ref="E18:F18"/>
    <mergeCell ref="E20:F20"/>
    <mergeCell ref="E21:F21"/>
    <mergeCell ref="E22:F22"/>
    <mergeCell ref="E23:F23"/>
    <mergeCell ref="E25:F25"/>
    <mergeCell ref="E26:F26"/>
    <mergeCell ref="C28:D28"/>
    <mergeCell ref="C15:D15"/>
    <mergeCell ref="C16:D16"/>
    <mergeCell ref="C17:D17"/>
    <mergeCell ref="C18:D18"/>
    <mergeCell ref="C20:D20"/>
    <mergeCell ref="C21:D21"/>
    <mergeCell ref="C22:D22"/>
    <mergeCell ref="C23:D23"/>
    <mergeCell ref="C25:D25"/>
    <mergeCell ref="C26:D26"/>
    <mergeCell ref="C27:D27"/>
    <mergeCell ref="A6:N6"/>
    <mergeCell ref="A7:N7"/>
    <mergeCell ref="A8:N8"/>
    <mergeCell ref="Q11:Q12"/>
    <mergeCell ref="K15:L15"/>
    <mergeCell ref="K16:L16"/>
    <mergeCell ref="K17:L17"/>
    <mergeCell ref="A11:A13"/>
    <mergeCell ref="B11:B13"/>
    <mergeCell ref="C11:D12"/>
    <mergeCell ref="E11:F12"/>
    <mergeCell ref="G11:H12"/>
    <mergeCell ref="I11:J12"/>
    <mergeCell ref="M13:N13"/>
    <mergeCell ref="K11:L12"/>
    <mergeCell ref="M11:N12"/>
    <mergeCell ref="O11:O12"/>
    <mergeCell ref="P11:P12"/>
    <mergeCell ref="C13:D13"/>
    <mergeCell ref="E13:F13"/>
    <mergeCell ref="G13:H13"/>
    <mergeCell ref="I13:J13"/>
    <mergeCell ref="M32:N32"/>
    <mergeCell ref="C32:D32"/>
    <mergeCell ref="E32:F32"/>
    <mergeCell ref="G32:H32"/>
    <mergeCell ref="I32:J32"/>
    <mergeCell ref="K32:L32"/>
    <mergeCell ref="M30:N30"/>
    <mergeCell ref="C31:D31"/>
    <mergeCell ref="E31:F31"/>
    <mergeCell ref="G31:H31"/>
    <mergeCell ref="I31:J31"/>
    <mergeCell ref="K31:L31"/>
    <mergeCell ref="M31:N31"/>
    <mergeCell ref="C30:D30"/>
    <mergeCell ref="E30:F30"/>
    <mergeCell ref="G30:H30"/>
    <mergeCell ref="I30:J30"/>
    <mergeCell ref="K30:L30"/>
  </mergeCells>
  <pageMargins left="0.7" right="0.7" top="0.75" bottom="0.75" header="0.3" footer="0.3"/>
  <pageSetup paperSize="9" scale="62" orientation="landscape" r:id="rId1"/>
  <rowBreaks count="1" manualBreakCount="1">
    <brk id="4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view="pageBreakPreview" topLeftCell="A10" zoomScale="60" zoomScaleNormal="75" workbookViewId="0">
      <selection activeCell="A35" sqref="A35"/>
    </sheetView>
  </sheetViews>
  <sheetFormatPr defaultRowHeight="15" x14ac:dyDescent="0.25"/>
  <cols>
    <col min="1" max="1" width="4" customWidth="1"/>
    <col min="2" max="2" width="45.7109375" customWidth="1"/>
    <col min="3" max="3" width="8.7109375" customWidth="1"/>
    <col min="4" max="4" width="6.28515625" customWidth="1"/>
    <col min="5" max="5" width="10.85546875" customWidth="1"/>
    <col min="6" max="6" width="9.85546875" customWidth="1"/>
    <col min="7" max="7" width="8.7109375" customWidth="1"/>
    <col min="8" max="8" width="6.42578125" customWidth="1"/>
    <col min="9" max="9" width="9.42578125" customWidth="1"/>
    <col min="10" max="10" width="4.85546875" customWidth="1"/>
    <col min="11" max="11" width="9.7109375" customWidth="1"/>
    <col min="12" max="12" width="3.7109375" customWidth="1"/>
    <col min="13" max="13" width="8.7109375" customWidth="1"/>
    <col min="14" max="14" width="4.140625" customWidth="1"/>
    <col min="15" max="15" width="15" customWidth="1"/>
    <col min="16" max="16" width="13.28515625" customWidth="1"/>
    <col min="17" max="17" width="13.7109375" customWidth="1"/>
    <col min="18" max="18" width="9.140625" customWidth="1"/>
    <col min="31" max="31" width="9.140625" customWidth="1"/>
  </cols>
  <sheetData>
    <row r="1" spans="1:19" x14ac:dyDescent="0.25">
      <c r="A1" s="11"/>
      <c r="B1" s="349"/>
      <c r="C1" s="349"/>
      <c r="D1" s="349"/>
      <c r="E1" s="349"/>
      <c r="F1" s="349"/>
      <c r="G1" s="11"/>
      <c r="H1" s="11"/>
      <c r="I1" s="11"/>
      <c r="J1" s="346"/>
      <c r="K1" s="346"/>
      <c r="L1" s="346"/>
      <c r="M1" s="346"/>
      <c r="N1" s="11"/>
      <c r="O1" s="346" t="s">
        <v>0</v>
      </c>
      <c r="P1" s="346"/>
      <c r="Q1" s="346"/>
      <c r="R1" s="346"/>
      <c r="S1" s="11"/>
    </row>
    <row r="2" spans="1:19" ht="15.75" customHeight="1" x14ac:dyDescent="0.25">
      <c r="A2" s="11"/>
      <c r="B2" s="13"/>
      <c r="C2" s="13"/>
      <c r="D2" s="388"/>
      <c r="E2" s="388"/>
      <c r="F2" s="388"/>
      <c r="G2" s="11"/>
      <c r="H2" s="11"/>
      <c r="I2" s="11"/>
      <c r="J2" s="11"/>
      <c r="K2" s="11"/>
      <c r="L2" s="11"/>
      <c r="M2" s="11"/>
      <c r="N2" s="11"/>
      <c r="O2" s="11" t="s">
        <v>30</v>
      </c>
      <c r="P2" s="11"/>
      <c r="Q2" s="11"/>
      <c r="R2" s="11"/>
      <c r="S2" s="11"/>
    </row>
    <row r="3" spans="1:19" x14ac:dyDescent="0.25">
      <c r="A3" s="11"/>
      <c r="B3" s="346"/>
      <c r="C3" s="346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 t="s">
        <v>31</v>
      </c>
      <c r="P3" s="11"/>
      <c r="Q3" s="11"/>
      <c r="R3" s="11"/>
      <c r="S3" s="11"/>
    </row>
    <row r="4" spans="1:19" x14ac:dyDescent="0.25">
      <c r="A4" s="11"/>
      <c r="B4" s="12"/>
      <c r="C4" s="12"/>
      <c r="D4" s="12"/>
      <c r="E4" s="12"/>
      <c r="F4" s="11"/>
      <c r="G4" s="11"/>
      <c r="H4" s="11"/>
      <c r="I4" s="11"/>
      <c r="J4" s="11"/>
      <c r="K4" s="11"/>
      <c r="L4" s="11"/>
      <c r="M4" s="11"/>
      <c r="N4" s="11"/>
      <c r="O4" s="11" t="s">
        <v>37</v>
      </c>
      <c r="P4" s="11"/>
      <c r="Q4" s="11"/>
      <c r="R4" s="11"/>
      <c r="S4" s="11"/>
    </row>
    <row r="5" spans="1:19" x14ac:dyDescent="0.25">
      <c r="A5" s="11"/>
      <c r="B5" s="11"/>
      <c r="C5" s="14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5.75" x14ac:dyDescent="0.25">
      <c r="A6" s="374" t="s">
        <v>1</v>
      </c>
      <c r="B6" s="374"/>
      <c r="C6" s="374"/>
      <c r="D6" s="374"/>
      <c r="E6" s="374"/>
      <c r="F6" s="374"/>
      <c r="G6" s="11"/>
      <c r="H6" s="11"/>
      <c r="I6" s="11"/>
      <c r="J6" s="11"/>
      <c r="K6" s="11"/>
      <c r="L6" s="11"/>
      <c r="M6" s="11"/>
      <c r="N6" s="11"/>
      <c r="O6" s="11" t="s">
        <v>35</v>
      </c>
      <c r="P6" s="11"/>
      <c r="Q6" s="11"/>
      <c r="R6" s="11"/>
      <c r="S6" s="11"/>
    </row>
    <row r="7" spans="1:19" ht="15.75" x14ac:dyDescent="0.25">
      <c r="A7" s="374" t="s">
        <v>33</v>
      </c>
      <c r="B7" s="374"/>
      <c r="C7" s="374"/>
      <c r="D7" s="374"/>
      <c r="E7" s="374"/>
      <c r="F7" s="374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ht="15.75" customHeight="1" x14ac:dyDescent="0.25">
      <c r="A8" s="375" t="s">
        <v>15</v>
      </c>
      <c r="B8" s="375"/>
      <c r="C8" s="375"/>
      <c r="D8" s="375"/>
      <c r="E8" s="375"/>
      <c r="F8" s="375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x14ac:dyDescent="0.25">
      <c r="A9" s="15"/>
      <c r="B9" s="15"/>
      <c r="C9" s="15"/>
      <c r="D9" s="15"/>
      <c r="E9" s="15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x14ac:dyDescent="0.25">
      <c r="A10" s="389" t="s">
        <v>77</v>
      </c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</row>
    <row r="11" spans="1:19" ht="15.75" customHeight="1" x14ac:dyDescent="0.25">
      <c r="A11" s="378" t="s">
        <v>3</v>
      </c>
      <c r="B11" s="381" t="s">
        <v>29</v>
      </c>
      <c r="C11" s="363" t="s">
        <v>64</v>
      </c>
      <c r="D11" s="363"/>
      <c r="E11" s="356" t="s">
        <v>65</v>
      </c>
      <c r="F11" s="356"/>
      <c r="G11" s="356" t="s">
        <v>66</v>
      </c>
      <c r="H11" s="356"/>
      <c r="I11" s="363" t="s">
        <v>67</v>
      </c>
      <c r="J11" s="363"/>
      <c r="K11" s="356" t="s">
        <v>68</v>
      </c>
      <c r="L11" s="356"/>
      <c r="M11" s="356" t="s">
        <v>69</v>
      </c>
      <c r="N11" s="356"/>
      <c r="O11" s="356" t="s">
        <v>70</v>
      </c>
      <c r="P11" s="354" t="s">
        <v>71</v>
      </c>
      <c r="Q11" s="356" t="s">
        <v>72</v>
      </c>
    </row>
    <row r="12" spans="1:19" ht="20.25" customHeight="1" x14ac:dyDescent="0.25">
      <c r="A12" s="379"/>
      <c r="B12" s="382"/>
      <c r="C12" s="363"/>
      <c r="D12" s="363"/>
      <c r="E12" s="356"/>
      <c r="F12" s="356"/>
      <c r="G12" s="356"/>
      <c r="H12" s="356"/>
      <c r="I12" s="363"/>
      <c r="J12" s="363"/>
      <c r="K12" s="356"/>
      <c r="L12" s="356"/>
      <c r="M12" s="356"/>
      <c r="N12" s="356"/>
      <c r="O12" s="356"/>
      <c r="P12" s="355"/>
      <c r="Q12" s="356"/>
    </row>
    <row r="13" spans="1:19" ht="23.25" customHeight="1" x14ac:dyDescent="0.25">
      <c r="A13" s="380"/>
      <c r="B13" s="383"/>
      <c r="C13" s="365" t="s">
        <v>73</v>
      </c>
      <c r="D13" s="366"/>
      <c r="E13" s="367" t="s">
        <v>73</v>
      </c>
      <c r="F13" s="368"/>
      <c r="G13" s="367" t="s">
        <v>73</v>
      </c>
      <c r="H13" s="368"/>
      <c r="I13" s="367" t="s">
        <v>73</v>
      </c>
      <c r="J13" s="368"/>
      <c r="K13" s="367" t="s">
        <v>73</v>
      </c>
      <c r="L13" s="368"/>
      <c r="M13" s="367" t="s">
        <v>73</v>
      </c>
      <c r="N13" s="368"/>
      <c r="O13" s="93" t="s">
        <v>73</v>
      </c>
      <c r="P13" s="93" t="s">
        <v>23</v>
      </c>
      <c r="Q13" s="93" t="s">
        <v>90</v>
      </c>
    </row>
    <row r="14" spans="1:19" x14ac:dyDescent="0.25">
      <c r="A14" s="25">
        <v>1</v>
      </c>
      <c r="B14" s="25" t="s">
        <v>4</v>
      </c>
      <c r="C14" s="26"/>
      <c r="D14" s="26"/>
      <c r="E14" s="27"/>
      <c r="F14" s="27"/>
      <c r="G14" s="27"/>
      <c r="H14" s="27"/>
      <c r="I14" s="26"/>
      <c r="J14" s="26"/>
      <c r="K14" s="27"/>
      <c r="L14" s="27"/>
      <c r="M14" s="27"/>
      <c r="N14" s="27"/>
      <c r="O14" s="27"/>
      <c r="P14" s="27"/>
      <c r="Q14" s="2"/>
    </row>
    <row r="15" spans="1:19" x14ac:dyDescent="0.25">
      <c r="A15" s="27"/>
      <c r="B15" s="27" t="s">
        <v>5</v>
      </c>
      <c r="C15" s="393">
        <f>F47*6+1173</f>
        <v>8022.9837673492893</v>
      </c>
      <c r="D15" s="394"/>
      <c r="E15" s="393">
        <f>F47*6+3657</f>
        <v>10506.983767349289</v>
      </c>
      <c r="F15" s="394"/>
      <c r="G15" s="393">
        <f>F47*6+2576</f>
        <v>9425.9837673492893</v>
      </c>
      <c r="H15" s="394"/>
      <c r="I15" s="393">
        <f>F47*6+2127</f>
        <v>8976.9837673492893</v>
      </c>
      <c r="J15" s="394"/>
      <c r="K15" s="393">
        <f>F47*6+1841</f>
        <v>8690.9837673492893</v>
      </c>
      <c r="L15" s="394"/>
      <c r="M15" s="393">
        <f>F47*6+2828</f>
        <v>9677.9837673492893</v>
      </c>
      <c r="N15" s="394"/>
      <c r="O15" s="26">
        <f>F47*6+3070</f>
        <v>9919.9837673492893</v>
      </c>
      <c r="P15" s="26">
        <f>F47*5+14938</f>
        <v>20646.319806124407</v>
      </c>
      <c r="Q15" s="112">
        <f>F47*21+12060</f>
        <v>36034.943185722514</v>
      </c>
    </row>
    <row r="16" spans="1:19" x14ac:dyDescent="0.25">
      <c r="A16" s="27"/>
      <c r="B16" s="27" t="s">
        <v>6</v>
      </c>
      <c r="C16" s="393">
        <f t="shared" ref="C16:C18" si="0">F48*6+1173</f>
        <v>7164.688915958779</v>
      </c>
      <c r="D16" s="394"/>
      <c r="E16" s="393">
        <f t="shared" ref="E16:E18" si="1">F48*6+3657</f>
        <v>9648.688915958779</v>
      </c>
      <c r="F16" s="394"/>
      <c r="G16" s="393">
        <f t="shared" ref="G16:G18" si="2">F48*6+2576</f>
        <v>8567.688915958779</v>
      </c>
      <c r="H16" s="394"/>
      <c r="I16" s="393">
        <f t="shared" ref="I16:I18" si="3">F48*6+2127</f>
        <v>8118.688915958779</v>
      </c>
      <c r="J16" s="394"/>
      <c r="K16" s="393">
        <f t="shared" ref="K16:K18" si="4">F48*6+1841</f>
        <v>7832.688915958779</v>
      </c>
      <c r="L16" s="394"/>
      <c r="M16" s="393">
        <f t="shared" ref="M16:M18" si="5">F48*6+2828</f>
        <v>8819.688915958779</v>
      </c>
      <c r="N16" s="394"/>
      <c r="O16" s="26">
        <f t="shared" ref="O16:O18" si="6">F48*6+3070</f>
        <v>9061.688915958779</v>
      </c>
      <c r="P16" s="26">
        <f t="shared" ref="P16:P18" si="7">F48*5+14938</f>
        <v>19931.074096632317</v>
      </c>
      <c r="Q16" s="112">
        <f t="shared" ref="Q16:Q18" si="8">F48*21+12060</f>
        <v>33030.911205855729</v>
      </c>
    </row>
    <row r="17" spans="1:17" x14ac:dyDescent="0.25">
      <c r="A17" s="27"/>
      <c r="B17" s="27" t="s">
        <v>7</v>
      </c>
      <c r="C17" s="393">
        <f t="shared" si="0"/>
        <v>6589.5471812964779</v>
      </c>
      <c r="D17" s="394"/>
      <c r="E17" s="393">
        <f t="shared" si="1"/>
        <v>9073.5471812964788</v>
      </c>
      <c r="F17" s="394"/>
      <c r="G17" s="393">
        <f t="shared" si="2"/>
        <v>7992.5471812964779</v>
      </c>
      <c r="H17" s="394"/>
      <c r="I17" s="393">
        <f t="shared" si="3"/>
        <v>7543.5471812964779</v>
      </c>
      <c r="J17" s="394"/>
      <c r="K17" s="393">
        <f t="shared" si="4"/>
        <v>7257.5471812964779</v>
      </c>
      <c r="L17" s="394"/>
      <c r="M17" s="393">
        <f t="shared" si="5"/>
        <v>8244.5471812964788</v>
      </c>
      <c r="N17" s="394"/>
      <c r="O17" s="26">
        <f t="shared" si="6"/>
        <v>8486.5471812964788</v>
      </c>
      <c r="P17" s="26">
        <f t="shared" si="7"/>
        <v>19451.789317747065</v>
      </c>
      <c r="Q17" s="112">
        <f t="shared" si="8"/>
        <v>31017.91513453767</v>
      </c>
    </row>
    <row r="18" spans="1:17" x14ac:dyDescent="0.25">
      <c r="A18" s="27"/>
      <c r="B18" s="27" t="s">
        <v>8</v>
      </c>
      <c r="C18" s="393">
        <f t="shared" si="0"/>
        <v>12223.604287642431</v>
      </c>
      <c r="D18" s="394"/>
      <c r="E18" s="393">
        <f t="shared" si="1"/>
        <v>14707.604287642431</v>
      </c>
      <c r="F18" s="394"/>
      <c r="G18" s="393">
        <f t="shared" si="2"/>
        <v>13626.604287642431</v>
      </c>
      <c r="H18" s="394"/>
      <c r="I18" s="393">
        <f t="shared" si="3"/>
        <v>13177.604287642431</v>
      </c>
      <c r="J18" s="394"/>
      <c r="K18" s="393">
        <f t="shared" si="4"/>
        <v>12891.604287642431</v>
      </c>
      <c r="L18" s="394"/>
      <c r="M18" s="393">
        <f t="shared" si="5"/>
        <v>13878.604287642431</v>
      </c>
      <c r="N18" s="394"/>
      <c r="O18" s="26">
        <f t="shared" si="6"/>
        <v>14120.604287642431</v>
      </c>
      <c r="P18" s="26">
        <f t="shared" si="7"/>
        <v>24146.836906368691</v>
      </c>
      <c r="Q18" s="112">
        <f t="shared" si="8"/>
        <v>50737.115006748507</v>
      </c>
    </row>
    <row r="19" spans="1:17" x14ac:dyDescent="0.25">
      <c r="A19" s="25">
        <v>2</v>
      </c>
      <c r="B19" s="25" t="s">
        <v>9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112"/>
    </row>
    <row r="20" spans="1:17" x14ac:dyDescent="0.25">
      <c r="A20" s="27"/>
      <c r="B20" s="27" t="s">
        <v>5</v>
      </c>
      <c r="C20" s="393">
        <f>F52*6+1173</f>
        <v>9192.4489585459432</v>
      </c>
      <c r="D20" s="394"/>
      <c r="E20" s="393">
        <f>F52*6+3657</f>
        <v>11676.448958545943</v>
      </c>
      <c r="F20" s="394"/>
      <c r="G20" s="393">
        <f>F52*6+2576</f>
        <v>10595.448958545943</v>
      </c>
      <c r="H20" s="394"/>
      <c r="I20" s="393">
        <f>F52*6+2127</f>
        <v>10146.448958545943</v>
      </c>
      <c r="J20" s="394"/>
      <c r="K20" s="393">
        <f>F52*6+1841</f>
        <v>9860.4489585459432</v>
      </c>
      <c r="L20" s="394"/>
      <c r="M20" s="393">
        <f>F52*6+2828</f>
        <v>10847.448958545943</v>
      </c>
      <c r="N20" s="394"/>
      <c r="O20" s="26">
        <f>F52*6+3070</f>
        <v>11089.448958545943</v>
      </c>
      <c r="P20" s="26">
        <f>F52*5+14938</f>
        <v>21620.874132121618</v>
      </c>
      <c r="Q20" s="112">
        <f>F52*21+12060</f>
        <v>40128.071354910804</v>
      </c>
    </row>
    <row r="21" spans="1:17" x14ac:dyDescent="0.25">
      <c r="A21" s="27"/>
      <c r="B21" s="27" t="s">
        <v>6</v>
      </c>
      <c r="C21" s="393">
        <f t="shared" ref="C21:C23" si="9">F53*6+1173</f>
        <v>8328.0219561774447</v>
      </c>
      <c r="D21" s="394"/>
      <c r="E21" s="393">
        <f t="shared" ref="E21:E23" si="10">F53*6+3657</f>
        <v>10812.021956177445</v>
      </c>
      <c r="F21" s="394"/>
      <c r="G21" s="393">
        <f t="shared" ref="G21:G23" si="11">F53*6+2576</f>
        <v>9731.0219561774447</v>
      </c>
      <c r="H21" s="394"/>
      <c r="I21" s="393">
        <f t="shared" ref="I21:I23" si="12">F53*6+2127</f>
        <v>9282.0219561774447</v>
      </c>
      <c r="J21" s="394"/>
      <c r="K21" s="393">
        <f t="shared" ref="K21:K23" si="13">F53*6+1841</f>
        <v>8996.0219561774447</v>
      </c>
      <c r="L21" s="394"/>
      <c r="M21" s="393">
        <f t="shared" ref="M21:M23" si="14">F53*6+2828</f>
        <v>9983.0219561774447</v>
      </c>
      <c r="N21" s="394"/>
      <c r="O21" s="26">
        <f t="shared" ref="O21:O23" si="15">F53*6+3070</f>
        <v>10225.021956177445</v>
      </c>
      <c r="P21" s="26">
        <f t="shared" ref="P21:P23" si="16">F53*5+14938</f>
        <v>20900.518296814538</v>
      </c>
      <c r="Q21" s="112">
        <f t="shared" ref="Q21:Q23" si="17">F53*21+12060</f>
        <v>37102.576846621057</v>
      </c>
    </row>
    <row r="22" spans="1:17" x14ac:dyDescent="0.25">
      <c r="A22" s="27"/>
      <c r="B22" s="27" t="s">
        <v>7</v>
      </c>
      <c r="C22" s="393">
        <f t="shared" si="9"/>
        <v>7752.7616739813302</v>
      </c>
      <c r="D22" s="394"/>
      <c r="E22" s="393">
        <f t="shared" si="10"/>
        <v>10236.761673981331</v>
      </c>
      <c r="F22" s="394"/>
      <c r="G22" s="393">
        <f t="shared" si="11"/>
        <v>9155.7616739813311</v>
      </c>
      <c r="H22" s="394"/>
      <c r="I22" s="393">
        <f t="shared" si="12"/>
        <v>8706.7616739813311</v>
      </c>
      <c r="J22" s="394"/>
      <c r="K22" s="393">
        <f t="shared" si="13"/>
        <v>8420.7616739813311</v>
      </c>
      <c r="L22" s="394"/>
      <c r="M22" s="393">
        <f t="shared" si="14"/>
        <v>9407.7616739813311</v>
      </c>
      <c r="N22" s="394"/>
      <c r="O22" s="26">
        <f t="shared" si="15"/>
        <v>9649.7616739813311</v>
      </c>
      <c r="P22" s="26">
        <f t="shared" si="16"/>
        <v>20421.134728317775</v>
      </c>
      <c r="Q22" s="112">
        <f t="shared" si="17"/>
        <v>35089.165858934655</v>
      </c>
    </row>
    <row r="23" spans="1:17" x14ac:dyDescent="0.25">
      <c r="A23" s="27"/>
      <c r="B23" s="27" t="s">
        <v>8</v>
      </c>
      <c r="C23" s="393">
        <f t="shared" si="9"/>
        <v>13375.157747340932</v>
      </c>
      <c r="D23" s="394"/>
      <c r="E23" s="393">
        <f t="shared" si="10"/>
        <v>15859.157747340932</v>
      </c>
      <c r="F23" s="394"/>
      <c r="G23" s="393">
        <f t="shared" si="11"/>
        <v>14778.157747340932</v>
      </c>
      <c r="H23" s="394"/>
      <c r="I23" s="393">
        <f t="shared" si="12"/>
        <v>14329.157747340932</v>
      </c>
      <c r="J23" s="394"/>
      <c r="K23" s="393">
        <f t="shared" si="13"/>
        <v>14043.157747340932</v>
      </c>
      <c r="L23" s="394"/>
      <c r="M23" s="393">
        <f t="shared" si="14"/>
        <v>15030.157747340932</v>
      </c>
      <c r="N23" s="394"/>
      <c r="O23" s="26">
        <f t="shared" si="15"/>
        <v>15272.157747340932</v>
      </c>
      <c r="P23" s="26">
        <f t="shared" si="16"/>
        <v>25106.464789450776</v>
      </c>
      <c r="Q23" s="112">
        <f t="shared" si="17"/>
        <v>54767.552115693266</v>
      </c>
    </row>
    <row r="24" spans="1:17" x14ac:dyDescent="0.25">
      <c r="A24" s="25">
        <v>3</v>
      </c>
      <c r="B24" s="25" t="s">
        <v>10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112"/>
    </row>
    <row r="25" spans="1:17" x14ac:dyDescent="0.25">
      <c r="A25" s="27"/>
      <c r="B25" s="27" t="s">
        <v>5</v>
      </c>
      <c r="C25" s="393">
        <f>F57*6+1173</f>
        <v>11540.706324583731</v>
      </c>
      <c r="D25" s="394"/>
      <c r="E25" s="393">
        <f>F57*6+3657</f>
        <v>14024.706324583731</v>
      </c>
      <c r="F25" s="394"/>
      <c r="G25" s="393">
        <f>F57*6+2576</f>
        <v>12943.706324583731</v>
      </c>
      <c r="H25" s="394"/>
      <c r="I25" s="393">
        <f>F57*6+2127</f>
        <v>12494.706324583731</v>
      </c>
      <c r="J25" s="394"/>
      <c r="K25" s="393">
        <f>F57*6+1841</f>
        <v>12208.706324583731</v>
      </c>
      <c r="L25" s="394"/>
      <c r="M25" s="393">
        <f>F57*6+2828</f>
        <v>13195.706324583731</v>
      </c>
      <c r="N25" s="394"/>
      <c r="O25" s="26">
        <f>F57*6+3070</f>
        <v>13437.706324583731</v>
      </c>
      <c r="P25" s="26">
        <f>F57*5+14938</f>
        <v>23577.755270486443</v>
      </c>
      <c r="Q25" s="112">
        <f>F57*21+12060</f>
        <v>48346.972136043056</v>
      </c>
    </row>
    <row r="26" spans="1:17" x14ac:dyDescent="0.25">
      <c r="A26" s="27"/>
      <c r="B26" s="27" t="s">
        <v>6</v>
      </c>
      <c r="C26" s="393">
        <f t="shared" ref="C26:C28" si="18">F58*6+1173</f>
        <v>9982.3031616647058</v>
      </c>
      <c r="D26" s="394"/>
      <c r="E26" s="393">
        <f t="shared" ref="E26:E28" si="19">F58*6+3657</f>
        <v>12466.303161664706</v>
      </c>
      <c r="F26" s="394"/>
      <c r="G26" s="393">
        <f t="shared" ref="G26:G28" si="20">F58*6+2576</f>
        <v>11385.303161664706</v>
      </c>
      <c r="H26" s="394"/>
      <c r="I26" s="393">
        <f t="shared" ref="I26:I28" si="21">F58*6+2127</f>
        <v>10936.303161664706</v>
      </c>
      <c r="J26" s="394"/>
      <c r="K26" s="393">
        <f t="shared" ref="K26:K28" si="22">F58*6+1841</f>
        <v>10650.303161664706</v>
      </c>
      <c r="L26" s="394"/>
      <c r="M26" s="393">
        <f t="shared" ref="M26:M28" si="23">F58*6+2828</f>
        <v>11637.303161664706</v>
      </c>
      <c r="N26" s="394"/>
      <c r="O26" s="26">
        <f t="shared" ref="O26:O28" si="24">F58*6+3070</f>
        <v>11879.303161664706</v>
      </c>
      <c r="P26" s="26">
        <f t="shared" ref="P26:P28" si="25">F58*5+14938</f>
        <v>22279.085968053922</v>
      </c>
      <c r="Q26" s="112">
        <f t="shared" ref="Q26:Q28" si="26">F58*21+12060</f>
        <v>42892.56106582647</v>
      </c>
    </row>
    <row r="27" spans="1:17" x14ac:dyDescent="0.25">
      <c r="A27" s="27"/>
      <c r="B27" s="27" t="s">
        <v>7</v>
      </c>
      <c r="C27" s="393">
        <f t="shared" si="18"/>
        <v>8685.2685185185182</v>
      </c>
      <c r="D27" s="394"/>
      <c r="E27" s="393">
        <f t="shared" si="19"/>
        <v>11169.268518518518</v>
      </c>
      <c r="F27" s="394"/>
      <c r="G27" s="393">
        <f t="shared" si="20"/>
        <v>10088.268518518518</v>
      </c>
      <c r="H27" s="394"/>
      <c r="I27" s="393">
        <f t="shared" si="21"/>
        <v>9639.2685185185182</v>
      </c>
      <c r="J27" s="394"/>
      <c r="K27" s="393">
        <f t="shared" si="22"/>
        <v>9353.2685185185182</v>
      </c>
      <c r="L27" s="394"/>
      <c r="M27" s="393">
        <f t="shared" si="23"/>
        <v>10340.268518518518</v>
      </c>
      <c r="N27" s="394"/>
      <c r="O27" s="26">
        <f t="shared" si="24"/>
        <v>10582.268518518518</v>
      </c>
      <c r="P27" s="26">
        <f t="shared" si="25"/>
        <v>21198.2237654321</v>
      </c>
      <c r="Q27" s="112">
        <f t="shared" si="26"/>
        <v>38352.939814814818</v>
      </c>
    </row>
    <row r="28" spans="1:17" x14ac:dyDescent="0.25">
      <c r="A28" s="27"/>
      <c r="B28" s="27" t="s">
        <v>8</v>
      </c>
      <c r="C28" s="393">
        <f t="shared" si="18"/>
        <v>16928.46006856635</v>
      </c>
      <c r="D28" s="394"/>
      <c r="E28" s="393">
        <f t="shared" si="19"/>
        <v>19412.46006856635</v>
      </c>
      <c r="F28" s="394"/>
      <c r="G28" s="393">
        <f t="shared" si="20"/>
        <v>18331.46006856635</v>
      </c>
      <c r="H28" s="394"/>
      <c r="I28" s="393">
        <f t="shared" si="21"/>
        <v>17882.46006856635</v>
      </c>
      <c r="J28" s="394"/>
      <c r="K28" s="393">
        <f t="shared" si="22"/>
        <v>17596.46006856635</v>
      </c>
      <c r="L28" s="394"/>
      <c r="M28" s="393">
        <f t="shared" si="23"/>
        <v>18583.46006856635</v>
      </c>
      <c r="N28" s="394"/>
      <c r="O28" s="26">
        <f t="shared" si="24"/>
        <v>18825.46006856635</v>
      </c>
      <c r="P28" s="26">
        <f t="shared" si="25"/>
        <v>28067.550057138622</v>
      </c>
      <c r="Q28" s="112">
        <f t="shared" si="26"/>
        <v>67204.110239982227</v>
      </c>
    </row>
    <row r="29" spans="1:17" x14ac:dyDescent="0.25">
      <c r="A29" s="110">
        <v>4</v>
      </c>
      <c r="B29" s="25" t="s">
        <v>83</v>
      </c>
      <c r="C29" s="27"/>
      <c r="D29" s="2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x14ac:dyDescent="0.25">
      <c r="A30" s="27"/>
      <c r="B30" s="27" t="s">
        <v>84</v>
      </c>
      <c r="C30" s="391">
        <f>F62*6+1173</f>
        <v>4648.4296349613296</v>
      </c>
      <c r="D30" s="392"/>
      <c r="E30" s="391">
        <f>F62*6+3657</f>
        <v>7132.4296349613296</v>
      </c>
      <c r="F30" s="392"/>
      <c r="G30" s="391">
        <f>F62*6+2576</f>
        <v>6051.4296349613296</v>
      </c>
      <c r="H30" s="392"/>
      <c r="I30" s="391">
        <f>F62*6+2127</f>
        <v>5602.4296349613296</v>
      </c>
      <c r="J30" s="392"/>
      <c r="K30" s="391">
        <f>F62*6+1841</f>
        <v>5316.4296349613296</v>
      </c>
      <c r="L30" s="392"/>
      <c r="M30" s="391">
        <f>F62*6+2828</f>
        <v>6303.4296349613296</v>
      </c>
      <c r="N30" s="392"/>
      <c r="O30" s="115">
        <f>F62*6+3070</f>
        <v>6545.4296349613296</v>
      </c>
      <c r="P30" s="115">
        <f>F62*5+14938</f>
        <v>17834.191362467776</v>
      </c>
      <c r="Q30" s="120">
        <f>F62*21+12060</f>
        <v>24224.003722364654</v>
      </c>
    </row>
    <row r="31" spans="1:17" x14ac:dyDescent="0.25">
      <c r="A31" s="108"/>
      <c r="B31" s="27" t="s">
        <v>85</v>
      </c>
      <c r="C31" s="391">
        <f>F63*6+1173</f>
        <v>5798.7612349613282</v>
      </c>
      <c r="D31" s="392"/>
      <c r="E31" s="391">
        <f>F63*6+3657</f>
        <v>8282.7612349613282</v>
      </c>
      <c r="F31" s="392"/>
      <c r="G31" s="391">
        <f>F63*6+2576</f>
        <v>7201.7612349613282</v>
      </c>
      <c r="H31" s="392"/>
      <c r="I31" s="391">
        <f>F63*6+2127</f>
        <v>6752.7612349613282</v>
      </c>
      <c r="J31" s="392"/>
      <c r="K31" s="391">
        <f>F63*6+1841</f>
        <v>6466.7612349613282</v>
      </c>
      <c r="L31" s="392"/>
      <c r="M31" s="391">
        <f>F63*6+2828</f>
        <v>7453.7612349613282</v>
      </c>
      <c r="N31" s="392"/>
      <c r="O31" s="115">
        <f>F63*6+3070</f>
        <v>7695.7612349613282</v>
      </c>
      <c r="P31" s="115">
        <f>F63*5+14938</f>
        <v>18792.80102913444</v>
      </c>
      <c r="Q31" s="120">
        <f>F63*21+12060</f>
        <v>28250.16432236465</v>
      </c>
    </row>
    <row r="32" spans="1:17" x14ac:dyDescent="0.25">
      <c r="A32" s="104"/>
      <c r="B32" s="104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4"/>
    </row>
    <row r="33" spans="1:17" ht="15" customHeight="1" x14ac:dyDescent="0.25">
      <c r="A33" s="32"/>
      <c r="B33" s="32"/>
      <c r="C33" s="395">
        <f>'Дамский заезд 2'!E13</f>
        <v>1172.5859999999998</v>
      </c>
      <c r="D33" s="395"/>
      <c r="E33" s="395">
        <f>'Дамский заезд 2'!E23</f>
        <v>3657.3472600000005</v>
      </c>
      <c r="F33" s="395"/>
      <c r="G33" s="395">
        <f>'Дамский заезд 2'!E33</f>
        <v>2575.6066599999999</v>
      </c>
      <c r="H33" s="395"/>
      <c r="I33" s="395">
        <f>'Дамский заезд 2'!E42</f>
        <v>2127.06</v>
      </c>
      <c r="J33" s="395"/>
      <c r="K33" s="395">
        <f>'Дамский заезд 2'!E51</f>
        <v>1840.7213999999999</v>
      </c>
      <c r="L33" s="395"/>
      <c r="M33" s="395">
        <f>'Дамский заезд 2'!E61</f>
        <v>2828.4119999999998</v>
      </c>
      <c r="N33" s="395"/>
      <c r="O33" s="116">
        <f>'Дамский заезд 2'!E70</f>
        <v>3069.61204</v>
      </c>
      <c r="P33" s="117">
        <f>'Дамский заезд 2'!E79</f>
        <v>14938.064799999998</v>
      </c>
      <c r="Q33" s="103">
        <f>'Дамский заезд 2'!E90</f>
        <v>12059.77104</v>
      </c>
    </row>
    <row r="34" spans="1:17" x14ac:dyDescent="0.25">
      <c r="A34" s="32"/>
      <c r="B34" s="3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3"/>
      <c r="Q34" s="41"/>
    </row>
    <row r="35" spans="1:17" x14ac:dyDescent="0.25">
      <c r="A35" s="23"/>
      <c r="B35" s="11" t="s">
        <v>78</v>
      </c>
      <c r="C35" s="11"/>
      <c r="D35" s="11"/>
      <c r="E35" s="11"/>
      <c r="F35" s="11"/>
      <c r="G35" s="11" t="s">
        <v>39</v>
      </c>
      <c r="H35" s="11"/>
      <c r="I35" s="44"/>
      <c r="J35" s="44"/>
      <c r="K35" s="44"/>
      <c r="L35" s="44"/>
      <c r="M35" s="44"/>
      <c r="N35" s="44"/>
      <c r="O35" s="44"/>
      <c r="P35" s="45"/>
    </row>
    <row r="36" spans="1:17" x14ac:dyDescent="0.25">
      <c r="A36" s="18"/>
      <c r="B36" s="11"/>
      <c r="C36" s="11"/>
      <c r="D36" s="11"/>
      <c r="E36" s="11"/>
      <c r="F36" s="11"/>
      <c r="G36" s="11"/>
      <c r="H36" s="11"/>
      <c r="I36" s="46"/>
      <c r="J36" s="46"/>
      <c r="K36" s="46"/>
      <c r="L36" s="46"/>
      <c r="M36" s="46"/>
      <c r="N36" s="40"/>
      <c r="O36" s="40"/>
      <c r="P36" s="40"/>
    </row>
    <row r="37" spans="1:17" x14ac:dyDescent="0.25">
      <c r="A37" s="18"/>
      <c r="B37" s="11" t="s">
        <v>11</v>
      </c>
      <c r="C37" s="11"/>
      <c r="D37" s="11"/>
      <c r="E37" s="11"/>
      <c r="F37" s="11"/>
      <c r="G37" s="11" t="s">
        <v>12</v>
      </c>
      <c r="H37" s="11"/>
      <c r="I37" s="18"/>
      <c r="J37" s="18"/>
      <c r="K37" s="18"/>
      <c r="L37" s="18"/>
      <c r="M37" s="18"/>
      <c r="N37" s="11"/>
      <c r="O37" s="11"/>
      <c r="P37" s="11"/>
    </row>
    <row r="38" spans="1:17" x14ac:dyDescent="0.25">
      <c r="A38" s="18"/>
      <c r="B38" s="11"/>
      <c r="C38" s="11"/>
      <c r="D38" s="11"/>
      <c r="E38" s="11"/>
      <c r="F38" s="11"/>
      <c r="G38" s="11"/>
      <c r="H38" s="11"/>
      <c r="I38" s="18"/>
      <c r="J38" s="18"/>
      <c r="K38" s="18"/>
      <c r="L38" s="18"/>
      <c r="M38" s="18"/>
      <c r="N38" s="11"/>
      <c r="O38" s="11"/>
      <c r="P38" s="11"/>
    </row>
    <row r="39" spans="1:17" x14ac:dyDescent="0.25">
      <c r="A39" s="18"/>
      <c r="B39" s="11" t="s">
        <v>13</v>
      </c>
      <c r="C39" s="11"/>
      <c r="D39" s="11"/>
      <c r="E39" s="11"/>
      <c r="F39" s="11"/>
      <c r="G39" s="11"/>
      <c r="H39" s="11"/>
      <c r="I39" s="18"/>
      <c r="J39" s="18"/>
      <c r="K39" s="18"/>
      <c r="L39" s="18"/>
      <c r="M39" s="18"/>
      <c r="N39" s="11"/>
      <c r="O39" s="11"/>
      <c r="P39" s="11"/>
    </row>
    <row r="40" spans="1:17" x14ac:dyDescent="0.25">
      <c r="A40" s="18"/>
      <c r="B40" s="11"/>
      <c r="C40" s="11"/>
      <c r="D40" s="11"/>
      <c r="E40" s="11"/>
      <c r="F40" s="11"/>
      <c r="G40" s="11"/>
      <c r="H40" s="11"/>
      <c r="I40" s="18"/>
      <c r="J40" s="18"/>
      <c r="K40" s="18"/>
      <c r="L40" s="18"/>
      <c r="M40" s="18"/>
      <c r="N40" s="11"/>
      <c r="O40" s="11"/>
      <c r="P40" s="11"/>
    </row>
    <row r="41" spans="1:17" x14ac:dyDescent="0.25">
      <c r="A41" s="19"/>
      <c r="B41" s="11" t="s">
        <v>14</v>
      </c>
      <c r="C41" s="11"/>
      <c r="D41" s="11"/>
      <c r="E41" s="11"/>
      <c r="F41" s="11"/>
      <c r="G41" s="11" t="s">
        <v>28</v>
      </c>
      <c r="H41" s="11"/>
      <c r="I41" s="18"/>
      <c r="J41" s="18"/>
      <c r="K41" s="18"/>
      <c r="L41" s="18"/>
      <c r="M41" s="18"/>
      <c r="N41" s="11"/>
      <c r="O41" s="11"/>
      <c r="P41" s="11"/>
    </row>
    <row r="42" spans="1:17" x14ac:dyDescent="0.25">
      <c r="A42" s="20"/>
      <c r="I42" s="18"/>
      <c r="J42" s="18"/>
      <c r="K42" s="18"/>
      <c r="L42" s="18"/>
      <c r="M42" s="18"/>
      <c r="N42" s="11"/>
      <c r="O42" s="11"/>
      <c r="P42" s="11"/>
    </row>
    <row r="43" spans="1:17" x14ac:dyDescent="0.25">
      <c r="A43" s="21"/>
      <c r="B43" s="22"/>
      <c r="C43" s="21"/>
      <c r="D43" s="21"/>
      <c r="E43" s="21"/>
      <c r="F43" s="21"/>
      <c r="G43" s="21"/>
      <c r="H43" s="21"/>
      <c r="I43" s="18"/>
      <c r="J43" s="18"/>
      <c r="K43" s="18"/>
      <c r="L43" s="18"/>
      <c r="M43" s="18"/>
      <c r="N43" s="11"/>
      <c r="O43" s="11"/>
      <c r="P43" s="11"/>
    </row>
    <row r="45" spans="1:17" x14ac:dyDescent="0.25">
      <c r="B45" s="33"/>
      <c r="C45" s="34"/>
      <c r="D45" s="35" t="s">
        <v>87</v>
      </c>
      <c r="E45" t="s">
        <v>88</v>
      </c>
      <c r="F45" t="s">
        <v>89</v>
      </c>
    </row>
    <row r="46" spans="1:17" x14ac:dyDescent="0.25">
      <c r="B46" s="33" t="s">
        <v>4</v>
      </c>
      <c r="C46" s="34"/>
      <c r="D46" s="35"/>
    </row>
    <row r="47" spans="1:17" x14ac:dyDescent="0.25">
      <c r="B47" s="34" t="s">
        <v>5</v>
      </c>
      <c r="C47" s="34">
        <v>1986</v>
      </c>
      <c r="D47" s="35">
        <v>0.42514402758062353</v>
      </c>
      <c r="E47">
        <f>C47*D47</f>
        <v>844.33603877511837</v>
      </c>
      <c r="F47">
        <f>C47-E47</f>
        <v>1141.6639612248816</v>
      </c>
    </row>
    <row r="48" spans="1:17" x14ac:dyDescent="0.25">
      <c r="B48" s="34" t="s">
        <v>6</v>
      </c>
      <c r="C48" s="34">
        <v>1843</v>
      </c>
      <c r="D48" s="35">
        <v>0.45815799276914637</v>
      </c>
      <c r="E48">
        <f t="shared" ref="E48:E63" si="27">C48*D48</f>
        <v>844.38518067353675</v>
      </c>
      <c r="F48">
        <f t="shared" ref="F48:F63" si="28">C48-E48</f>
        <v>998.61481932646325</v>
      </c>
    </row>
    <row r="49" spans="2:6" x14ac:dyDescent="0.25">
      <c r="B49" s="34" t="s">
        <v>7</v>
      </c>
      <c r="C49" s="34">
        <v>1747</v>
      </c>
      <c r="D49" s="35">
        <v>0.48325251084750259</v>
      </c>
      <c r="E49">
        <f t="shared" si="27"/>
        <v>844.24213645058705</v>
      </c>
      <c r="F49">
        <f t="shared" si="28"/>
        <v>902.75786354941295</v>
      </c>
    </row>
    <row r="50" spans="2:6" x14ac:dyDescent="0.25">
      <c r="B50" s="34" t="s">
        <v>8</v>
      </c>
      <c r="C50" s="34">
        <v>2686</v>
      </c>
      <c r="D50" s="35">
        <v>0.31430849543047706</v>
      </c>
      <c r="E50">
        <f t="shared" si="27"/>
        <v>844.23261872626142</v>
      </c>
      <c r="F50">
        <f t="shared" si="28"/>
        <v>1841.7673812737385</v>
      </c>
    </row>
    <row r="51" spans="2:6" x14ac:dyDescent="0.25">
      <c r="B51" s="33" t="s">
        <v>9</v>
      </c>
      <c r="C51" s="34"/>
      <c r="D51" s="35"/>
      <c r="F51">
        <f t="shared" si="28"/>
        <v>0</v>
      </c>
    </row>
    <row r="52" spans="2:6" x14ac:dyDescent="0.25">
      <c r="B52" s="34" t="s">
        <v>5</v>
      </c>
      <c r="C52" s="34">
        <v>2181</v>
      </c>
      <c r="D52" s="35">
        <v>0.38717339457848521</v>
      </c>
      <c r="E52">
        <f t="shared" si="27"/>
        <v>844.42517357567624</v>
      </c>
      <c r="F52">
        <f t="shared" si="28"/>
        <v>1336.5748264243239</v>
      </c>
    </row>
    <row r="53" spans="2:6" x14ac:dyDescent="0.25">
      <c r="B53" s="34" t="s">
        <v>6</v>
      </c>
      <c r="C53" s="34">
        <v>2037</v>
      </c>
      <c r="D53" s="35">
        <v>0.41457846864854819</v>
      </c>
      <c r="E53">
        <f t="shared" si="27"/>
        <v>844.49634063709266</v>
      </c>
      <c r="F53">
        <f t="shared" si="28"/>
        <v>1192.5036593629075</v>
      </c>
    </row>
    <row r="54" spans="2:6" x14ac:dyDescent="0.25">
      <c r="B54" s="34" t="s">
        <v>7</v>
      </c>
      <c r="C54" s="34">
        <v>1941</v>
      </c>
      <c r="D54" s="35">
        <v>0.43501960553139879</v>
      </c>
      <c r="E54">
        <f t="shared" si="27"/>
        <v>844.37305433644508</v>
      </c>
      <c r="F54">
        <f t="shared" si="28"/>
        <v>1096.626945663555</v>
      </c>
    </row>
    <row r="55" spans="2:6" x14ac:dyDescent="0.25">
      <c r="B55" s="34" t="s">
        <v>8</v>
      </c>
      <c r="C55" s="34">
        <v>2878</v>
      </c>
      <c r="D55" s="35">
        <v>0.29336589371433097</v>
      </c>
      <c r="E55">
        <f t="shared" si="27"/>
        <v>844.30704210984459</v>
      </c>
      <c r="F55">
        <f t="shared" si="28"/>
        <v>2033.6929578901554</v>
      </c>
    </row>
    <row r="56" spans="2:6" x14ac:dyDescent="0.25">
      <c r="B56" s="33" t="s">
        <v>10</v>
      </c>
      <c r="C56" s="34"/>
      <c r="D56" s="35"/>
      <c r="F56">
        <f t="shared" si="28"/>
        <v>0</v>
      </c>
    </row>
    <row r="57" spans="2:6" x14ac:dyDescent="0.25">
      <c r="B57" s="34" t="s">
        <v>5</v>
      </c>
      <c r="C57" s="34">
        <v>2316</v>
      </c>
      <c r="D57" s="35">
        <v>0.25390714417215526</v>
      </c>
      <c r="E57">
        <f t="shared" si="27"/>
        <v>588.04894590271158</v>
      </c>
      <c r="F57">
        <f t="shared" si="28"/>
        <v>1727.9510540972883</v>
      </c>
    </row>
    <row r="58" spans="2:6" x14ac:dyDescent="0.25">
      <c r="B58" s="34" t="s">
        <v>6</v>
      </c>
      <c r="C58" s="34">
        <v>2171</v>
      </c>
      <c r="D58" s="35">
        <v>0.32371386752151809</v>
      </c>
      <c r="E58">
        <f t="shared" si="27"/>
        <v>702.78280638921581</v>
      </c>
      <c r="F58">
        <f t="shared" si="28"/>
        <v>1468.2171936107843</v>
      </c>
    </row>
    <row r="59" spans="2:6" x14ac:dyDescent="0.25">
      <c r="B59" s="34" t="s">
        <v>7</v>
      </c>
      <c r="C59" s="34">
        <v>2075</v>
      </c>
      <c r="D59" s="35">
        <v>0.39660493827160492</v>
      </c>
      <c r="E59">
        <f t="shared" si="27"/>
        <v>822.95524691358025</v>
      </c>
      <c r="F59">
        <f t="shared" si="28"/>
        <v>1252.0447530864199</v>
      </c>
    </row>
    <row r="60" spans="2:6" x14ac:dyDescent="0.25">
      <c r="B60" s="34" t="s">
        <v>8</v>
      </c>
      <c r="C60" s="34">
        <v>3013</v>
      </c>
      <c r="D60" s="35">
        <v>0.12847327864994193</v>
      </c>
      <c r="E60">
        <f t="shared" si="27"/>
        <v>387.08998857227505</v>
      </c>
      <c r="F60">
        <f t="shared" si="28"/>
        <v>2625.9100114277248</v>
      </c>
    </row>
    <row r="61" spans="2:6" x14ac:dyDescent="0.25">
      <c r="B61" s="2" t="s">
        <v>83</v>
      </c>
      <c r="C61" s="2"/>
      <c r="F61">
        <f t="shared" si="28"/>
        <v>0</v>
      </c>
    </row>
    <row r="62" spans="2:6" x14ac:dyDescent="0.25">
      <c r="B62" s="2" t="s">
        <v>84</v>
      </c>
      <c r="C62" s="2">
        <v>1423.5801338527613</v>
      </c>
      <c r="D62">
        <v>0.5931115792365611</v>
      </c>
      <c r="E62">
        <f t="shared" si="27"/>
        <v>844.34186135920629</v>
      </c>
      <c r="F62">
        <f t="shared" si="28"/>
        <v>579.23827249355497</v>
      </c>
    </row>
    <row r="63" spans="2:6" x14ac:dyDescent="0.25">
      <c r="B63" s="2" t="s">
        <v>85</v>
      </c>
      <c r="C63" s="2">
        <v>1615.3020671860943</v>
      </c>
      <c r="D63">
        <v>0.52271453031077686</v>
      </c>
      <c r="E63">
        <f t="shared" si="27"/>
        <v>844.34186135920618</v>
      </c>
      <c r="F63">
        <f t="shared" si="28"/>
        <v>770.96020582688811</v>
      </c>
    </row>
  </sheetData>
  <mergeCells count="116">
    <mergeCell ref="O1:R1"/>
    <mergeCell ref="A10:Q10"/>
    <mergeCell ref="C33:D33"/>
    <mergeCell ref="E33:F33"/>
    <mergeCell ref="G33:H33"/>
    <mergeCell ref="K33:L33"/>
    <mergeCell ref="I33:J33"/>
    <mergeCell ref="M33:N33"/>
    <mergeCell ref="M22:N22"/>
    <mergeCell ref="M23:N23"/>
    <mergeCell ref="M25:N25"/>
    <mergeCell ref="M26:N26"/>
    <mergeCell ref="M27:N27"/>
    <mergeCell ref="M28:N28"/>
    <mergeCell ref="M15:N15"/>
    <mergeCell ref="M16:N16"/>
    <mergeCell ref="M17:N17"/>
    <mergeCell ref="M18:N18"/>
    <mergeCell ref="M20:N20"/>
    <mergeCell ref="M21:N21"/>
    <mergeCell ref="G15:H15"/>
    <mergeCell ref="G16:H16"/>
    <mergeCell ref="G17:H17"/>
    <mergeCell ref="G18:H18"/>
    <mergeCell ref="K27:L27"/>
    <mergeCell ref="K25:L25"/>
    <mergeCell ref="K26:L26"/>
    <mergeCell ref="I20:J20"/>
    <mergeCell ref="I21:J21"/>
    <mergeCell ref="K28:L28"/>
    <mergeCell ref="K15:L15"/>
    <mergeCell ref="K16:L16"/>
    <mergeCell ref="K17:L17"/>
    <mergeCell ref="K18:L18"/>
    <mergeCell ref="K20:L20"/>
    <mergeCell ref="K21:L21"/>
    <mergeCell ref="I22:J22"/>
    <mergeCell ref="I23:J23"/>
    <mergeCell ref="I25:J25"/>
    <mergeCell ref="I26:J26"/>
    <mergeCell ref="I27:J27"/>
    <mergeCell ref="I28:J28"/>
    <mergeCell ref="I15:J15"/>
    <mergeCell ref="I16:J16"/>
    <mergeCell ref="I17:J17"/>
    <mergeCell ref="I18:J18"/>
    <mergeCell ref="K22:L22"/>
    <mergeCell ref="K23:L23"/>
    <mergeCell ref="E18:F18"/>
    <mergeCell ref="E20:F20"/>
    <mergeCell ref="E21:F21"/>
    <mergeCell ref="G22:H22"/>
    <mergeCell ref="G23:H23"/>
    <mergeCell ref="G25:H25"/>
    <mergeCell ref="G26:H26"/>
    <mergeCell ref="G20:H20"/>
    <mergeCell ref="G21:H21"/>
    <mergeCell ref="G27:H27"/>
    <mergeCell ref="G28:H28"/>
    <mergeCell ref="O11:O12"/>
    <mergeCell ref="P11:P12"/>
    <mergeCell ref="Q11:Q12"/>
    <mergeCell ref="C22:D22"/>
    <mergeCell ref="C23:D23"/>
    <mergeCell ref="C25:D25"/>
    <mergeCell ref="C26:D26"/>
    <mergeCell ref="C27:D27"/>
    <mergeCell ref="C28:D28"/>
    <mergeCell ref="C15:D15"/>
    <mergeCell ref="C16:D16"/>
    <mergeCell ref="C17:D17"/>
    <mergeCell ref="C18:D18"/>
    <mergeCell ref="C20:D20"/>
    <mergeCell ref="C21:D21"/>
    <mergeCell ref="E22:F22"/>
    <mergeCell ref="E23:F23"/>
    <mergeCell ref="E25:F25"/>
    <mergeCell ref="E26:F26"/>
    <mergeCell ref="E27:F27"/>
    <mergeCell ref="E28:F28"/>
    <mergeCell ref="E15:F15"/>
    <mergeCell ref="E16:F16"/>
    <mergeCell ref="E17:F17"/>
    <mergeCell ref="I11:J12"/>
    <mergeCell ref="K11:L12"/>
    <mergeCell ref="M11:N12"/>
    <mergeCell ref="C13:D13"/>
    <mergeCell ref="E13:F13"/>
    <mergeCell ref="G13:H13"/>
    <mergeCell ref="I13:J13"/>
    <mergeCell ref="K13:L13"/>
    <mergeCell ref="M13:N13"/>
    <mergeCell ref="C31:D31"/>
    <mergeCell ref="E31:F31"/>
    <mergeCell ref="G31:H31"/>
    <mergeCell ref="I31:J31"/>
    <mergeCell ref="K31:L31"/>
    <mergeCell ref="M31:N31"/>
    <mergeCell ref="B1:F1"/>
    <mergeCell ref="J1:M1"/>
    <mergeCell ref="D2:F2"/>
    <mergeCell ref="B3:C3"/>
    <mergeCell ref="A6:F6"/>
    <mergeCell ref="A7:F7"/>
    <mergeCell ref="C30:D30"/>
    <mergeCell ref="E30:F30"/>
    <mergeCell ref="G30:H30"/>
    <mergeCell ref="I30:J30"/>
    <mergeCell ref="K30:L30"/>
    <mergeCell ref="M30:N30"/>
    <mergeCell ref="A8:F8"/>
    <mergeCell ref="A11:A13"/>
    <mergeCell ref="B11:B13"/>
    <mergeCell ref="C11:D12"/>
    <mergeCell ref="E11:F12"/>
    <mergeCell ref="G11:H12"/>
  </mergeCells>
  <pageMargins left="0.7" right="0.7" top="0.75" bottom="0.75" header="0.3" footer="0.3"/>
  <pageSetup paperSize="9" scale="71" orientation="landscape" r:id="rId1"/>
  <rowBreaks count="1" manualBreakCount="1">
    <brk id="43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4"/>
  <sheetViews>
    <sheetView workbookViewId="0">
      <selection activeCell="B19" sqref="B19"/>
    </sheetView>
  </sheetViews>
  <sheetFormatPr defaultColWidth="9.140625" defaultRowHeight="15" x14ac:dyDescent="0.25"/>
  <cols>
    <col min="1" max="1" width="6.85546875" style="56" customWidth="1"/>
    <col min="2" max="2" width="48" style="56" customWidth="1"/>
    <col min="3" max="3" width="12" style="56" customWidth="1"/>
    <col min="4" max="4" width="10" style="56" customWidth="1"/>
    <col min="5" max="5" width="9.7109375" style="56" customWidth="1"/>
    <col min="6" max="6" width="10.85546875" style="56" customWidth="1"/>
    <col min="7" max="7" width="9.140625" style="56"/>
    <col min="8" max="8" width="11.5703125" style="56" customWidth="1"/>
    <col min="9" max="16384" width="9.140625" style="56"/>
  </cols>
  <sheetData>
    <row r="1" spans="1:13" ht="15.75" x14ac:dyDescent="0.25">
      <c r="A1" s="396"/>
      <c r="B1" s="396"/>
      <c r="C1" s="396"/>
      <c r="D1" s="396"/>
      <c r="E1" s="396"/>
      <c r="F1" s="397"/>
      <c r="G1" s="397"/>
      <c r="H1" s="397"/>
      <c r="I1" s="55"/>
      <c r="J1" s="55"/>
      <c r="K1" s="55"/>
      <c r="L1" s="55"/>
      <c r="M1" s="55"/>
    </row>
    <row r="2" spans="1:13" x14ac:dyDescent="0.25">
      <c r="A2" s="398" t="s">
        <v>3</v>
      </c>
      <c r="B2" s="398" t="s">
        <v>19</v>
      </c>
      <c r="C2" s="400"/>
      <c r="D2" s="400"/>
      <c r="E2" s="400"/>
      <c r="F2" s="62"/>
      <c r="G2" s="62"/>
      <c r="H2" s="62"/>
      <c r="I2" s="62"/>
      <c r="J2" s="55"/>
    </row>
    <row r="3" spans="1:13" x14ac:dyDescent="0.25">
      <c r="A3" s="399"/>
      <c r="B3" s="399"/>
      <c r="C3" s="138" t="s">
        <v>20</v>
      </c>
      <c r="D3" s="138" t="s">
        <v>21</v>
      </c>
      <c r="E3" s="138" t="s">
        <v>22</v>
      </c>
      <c r="F3" s="59"/>
      <c r="G3" s="59"/>
      <c r="H3" s="55"/>
      <c r="I3" s="55"/>
      <c r="J3" s="55"/>
    </row>
    <row r="4" spans="1:13" x14ac:dyDescent="0.25">
      <c r="A4" s="57">
        <v>1</v>
      </c>
      <c r="B4" s="57" t="s">
        <v>99</v>
      </c>
      <c r="C4" s="58"/>
      <c r="D4" s="58"/>
      <c r="E4" s="58"/>
      <c r="F4" s="55"/>
      <c r="G4" s="59"/>
      <c r="H4" s="55"/>
      <c r="I4" s="55"/>
      <c r="J4" s="55"/>
    </row>
    <row r="5" spans="1:13" x14ac:dyDescent="0.25">
      <c r="A5" s="135">
        <v>1</v>
      </c>
      <c r="B5" s="50" t="s">
        <v>92</v>
      </c>
      <c r="C5" s="132">
        <f>88*2</f>
        <v>176</v>
      </c>
      <c r="D5" s="133">
        <v>6</v>
      </c>
      <c r="E5" s="132">
        <f>C5*D5</f>
        <v>1056</v>
      </c>
      <c r="F5" s="55"/>
      <c r="G5" s="59"/>
      <c r="H5" s="55"/>
      <c r="I5" s="55"/>
      <c r="J5" s="55"/>
    </row>
    <row r="6" spans="1:13" x14ac:dyDescent="0.25">
      <c r="A6" s="136">
        <v>2</v>
      </c>
      <c r="B6" s="50" t="s">
        <v>93</v>
      </c>
      <c r="C6" s="132">
        <f>(71.09+177.64)/2*2</f>
        <v>248.73</v>
      </c>
      <c r="D6" s="133">
        <v>6</v>
      </c>
      <c r="E6" s="132">
        <f t="shared" ref="E6:E10" si="0">C6*D6</f>
        <v>1492.3799999999999</v>
      </c>
      <c r="F6" s="55"/>
      <c r="G6" s="55"/>
      <c r="H6" s="55"/>
      <c r="I6" s="55"/>
      <c r="J6" s="55"/>
    </row>
    <row r="7" spans="1:13" ht="30" x14ac:dyDescent="0.25">
      <c r="A7" s="136">
        <v>3</v>
      </c>
      <c r="B7" s="131" t="s">
        <v>94</v>
      </c>
      <c r="C7" s="132">
        <f>(41.92+103.02+61.4)/3</f>
        <v>68.78</v>
      </c>
      <c r="D7" s="133">
        <v>6</v>
      </c>
      <c r="E7" s="132">
        <f t="shared" si="0"/>
        <v>412.68</v>
      </c>
      <c r="F7" s="55"/>
      <c r="G7" s="55"/>
      <c r="H7" s="55"/>
      <c r="I7" s="55"/>
      <c r="J7" s="55"/>
    </row>
    <row r="8" spans="1:13" x14ac:dyDescent="0.25">
      <c r="A8" s="136">
        <v>4</v>
      </c>
      <c r="B8" s="134" t="s">
        <v>95</v>
      </c>
      <c r="C8" s="137">
        <f>149.41</f>
        <v>149.41</v>
      </c>
      <c r="D8" s="134">
        <v>6</v>
      </c>
      <c r="E8" s="132">
        <f t="shared" si="0"/>
        <v>896.46</v>
      </c>
      <c r="F8" s="55"/>
      <c r="G8" s="55"/>
      <c r="H8" s="55"/>
      <c r="I8" s="55"/>
      <c r="J8" s="55"/>
    </row>
    <row r="9" spans="1:13" x14ac:dyDescent="0.25">
      <c r="A9" s="136">
        <v>5</v>
      </c>
      <c r="B9" s="50" t="s">
        <v>96</v>
      </c>
      <c r="C9" s="132">
        <v>42</v>
      </c>
      <c r="D9" s="133">
        <v>4</v>
      </c>
      <c r="E9" s="132">
        <f t="shared" si="0"/>
        <v>168</v>
      </c>
      <c r="F9" s="55"/>
      <c r="G9" s="55"/>
      <c r="H9" s="55"/>
      <c r="I9" s="55"/>
      <c r="J9" s="55"/>
    </row>
    <row r="10" spans="1:13" x14ac:dyDescent="0.25">
      <c r="A10" s="136">
        <v>6</v>
      </c>
      <c r="B10" s="50" t="s">
        <v>97</v>
      </c>
      <c r="C10" s="132">
        <v>100</v>
      </c>
      <c r="D10" s="133">
        <v>2</v>
      </c>
      <c r="E10" s="132">
        <f t="shared" si="0"/>
        <v>200</v>
      </c>
      <c r="F10" s="55"/>
      <c r="G10" s="55"/>
      <c r="H10" s="55"/>
      <c r="I10" s="55"/>
      <c r="J10" s="55"/>
    </row>
    <row r="11" spans="1:13" x14ac:dyDescent="0.25">
      <c r="A11" s="50"/>
      <c r="B11" s="50" t="s">
        <v>81</v>
      </c>
      <c r="C11" s="51"/>
      <c r="D11" s="50"/>
      <c r="E11" s="51">
        <f>SUM(E5:E10)</f>
        <v>4225.5200000000004</v>
      </c>
      <c r="F11" s="55"/>
      <c r="G11" s="55"/>
      <c r="H11" s="55"/>
      <c r="I11" s="55"/>
      <c r="J11" s="55"/>
    </row>
    <row r="12" spans="1:13" x14ac:dyDescent="0.25">
      <c r="A12" s="50"/>
      <c r="B12" s="50" t="s">
        <v>120</v>
      </c>
      <c r="C12" s="51"/>
      <c r="D12" s="50"/>
      <c r="E12" s="51">
        <f>E11*0.12</f>
        <v>507.06240000000003</v>
      </c>
      <c r="F12" s="55"/>
      <c r="G12" s="55"/>
      <c r="H12" s="55"/>
      <c r="I12" s="55"/>
      <c r="J12" s="55"/>
    </row>
    <row r="13" spans="1:13" x14ac:dyDescent="0.25">
      <c r="A13" s="58"/>
      <c r="B13" s="57" t="s">
        <v>169</v>
      </c>
      <c r="C13" s="60"/>
      <c r="D13" s="57"/>
      <c r="E13" s="157">
        <f>_xlfn.CEILING.PRECISE((E11+E12)/14)+1</f>
        <v>340</v>
      </c>
      <c r="F13" s="61"/>
      <c r="G13" s="61"/>
      <c r="H13" s="62"/>
      <c r="I13" s="55"/>
      <c r="J13" s="55"/>
    </row>
    <row r="14" spans="1:13" x14ac:dyDescent="0.25">
      <c r="A14" s="57">
        <v>1</v>
      </c>
      <c r="B14" s="57" t="s">
        <v>91</v>
      </c>
      <c r="C14" s="58"/>
      <c r="D14" s="58"/>
      <c r="E14" s="58"/>
    </row>
    <row r="15" spans="1:13" x14ac:dyDescent="0.25">
      <c r="A15" s="135">
        <v>1</v>
      </c>
      <c r="B15" s="50" t="s">
        <v>92</v>
      </c>
      <c r="C15" s="132">
        <f>88*2</f>
        <v>176</v>
      </c>
      <c r="D15" s="133">
        <v>6</v>
      </c>
      <c r="E15" s="132">
        <f>C15*D15</f>
        <v>1056</v>
      </c>
    </row>
    <row r="16" spans="1:13" x14ac:dyDescent="0.25">
      <c r="A16" s="136">
        <v>2</v>
      </c>
      <c r="B16" s="50" t="s">
        <v>101</v>
      </c>
      <c r="C16" s="132">
        <f>178.58*1.15</f>
        <v>205.36699999999999</v>
      </c>
      <c r="D16" s="133">
        <v>6</v>
      </c>
      <c r="E16" s="132">
        <f>C16*D16</f>
        <v>1232.202</v>
      </c>
    </row>
    <row r="17" spans="1:5" x14ac:dyDescent="0.25">
      <c r="A17" s="136">
        <v>3</v>
      </c>
      <c r="B17" s="50" t="s">
        <v>52</v>
      </c>
      <c r="C17" s="132">
        <f>86.42*1.15</f>
        <v>99.382999999999996</v>
      </c>
      <c r="D17" s="133">
        <v>6</v>
      </c>
      <c r="E17" s="132">
        <f t="shared" ref="E17:E20" si="1">C17*D17</f>
        <v>596.298</v>
      </c>
    </row>
    <row r="18" spans="1:5" x14ac:dyDescent="0.25">
      <c r="A18" s="136">
        <v>4</v>
      </c>
      <c r="B18" s="50" t="s">
        <v>102</v>
      </c>
      <c r="C18" s="132">
        <f>70.65*1.15</f>
        <v>81.247500000000002</v>
      </c>
      <c r="D18" s="133">
        <v>6</v>
      </c>
      <c r="E18" s="132">
        <f t="shared" si="1"/>
        <v>487.48500000000001</v>
      </c>
    </row>
    <row r="19" spans="1:5" ht="30" x14ac:dyDescent="0.25">
      <c r="A19" s="136">
        <v>5</v>
      </c>
      <c r="B19" s="131" t="s">
        <v>94</v>
      </c>
      <c r="C19" s="132">
        <f>(41.92+103.02+61.4)/3*1.15</f>
        <v>79.096999999999994</v>
      </c>
      <c r="D19" s="133">
        <v>6</v>
      </c>
      <c r="E19" s="132">
        <f>C19*D19</f>
        <v>474.58199999999999</v>
      </c>
    </row>
    <row r="20" spans="1:5" x14ac:dyDescent="0.25">
      <c r="A20" s="136">
        <v>6</v>
      </c>
      <c r="B20" s="50" t="s">
        <v>97</v>
      </c>
      <c r="C20" s="132">
        <v>100</v>
      </c>
      <c r="D20" s="133">
        <v>2</v>
      </c>
      <c r="E20" s="132">
        <f t="shared" si="1"/>
        <v>200</v>
      </c>
    </row>
    <row r="21" spans="1:5" x14ac:dyDescent="0.25">
      <c r="A21" s="50"/>
      <c r="B21" s="50" t="s">
        <v>81</v>
      </c>
      <c r="C21" s="51"/>
      <c r="D21" s="50"/>
      <c r="E21" s="51">
        <f>SUM(SUM(E15:E20))</f>
        <v>4046.567</v>
      </c>
    </row>
    <row r="22" spans="1:5" x14ac:dyDescent="0.25">
      <c r="A22" s="50"/>
      <c r="B22" s="50" t="s">
        <v>119</v>
      </c>
      <c r="C22" s="51"/>
      <c r="D22" s="50"/>
      <c r="E22" s="51">
        <f>E21*0.17</f>
        <v>687.91639000000009</v>
      </c>
    </row>
    <row r="23" spans="1:5" x14ac:dyDescent="0.25">
      <c r="A23" s="58"/>
      <c r="B23" s="57" t="s">
        <v>98</v>
      </c>
      <c r="C23" s="60"/>
      <c r="D23" s="57"/>
      <c r="E23" s="157">
        <f>_xlfn.CEILING.PRECISE((E21+E22)/14)+1</f>
        <v>340</v>
      </c>
    </row>
    <row r="24" spans="1:5" x14ac:dyDescent="0.25">
      <c r="A24" s="57">
        <v>1</v>
      </c>
      <c r="B24" s="57" t="s">
        <v>100</v>
      </c>
      <c r="C24" s="58"/>
      <c r="D24" s="58"/>
      <c r="E24" s="58"/>
    </row>
    <row r="25" spans="1:5" x14ac:dyDescent="0.25">
      <c r="A25" s="135">
        <v>1</v>
      </c>
      <c r="B25" s="50" t="s">
        <v>92</v>
      </c>
      <c r="C25" s="132">
        <f>88*2</f>
        <v>176</v>
      </c>
      <c r="D25" s="133">
        <v>6</v>
      </c>
      <c r="E25" s="132">
        <f>C25*D25</f>
        <v>1056</v>
      </c>
    </row>
    <row r="26" spans="1:5" x14ac:dyDescent="0.25">
      <c r="A26" s="136">
        <v>2</v>
      </c>
      <c r="B26" s="50" t="s">
        <v>54</v>
      </c>
      <c r="C26" s="132">
        <f>142.35*1.15*1.04</f>
        <v>170.25059999999999</v>
      </c>
      <c r="D26" s="133">
        <v>6</v>
      </c>
      <c r="E26" s="132">
        <f>C26*D26</f>
        <v>1021.5036</v>
      </c>
    </row>
    <row r="27" spans="1:5" ht="30" x14ac:dyDescent="0.25">
      <c r="A27" s="136">
        <v>3</v>
      </c>
      <c r="B27" s="131" t="s">
        <v>94</v>
      </c>
      <c r="C27" s="132">
        <f>(41.92+103.02+61.4)/3*1.15</f>
        <v>79.096999999999994</v>
      </c>
      <c r="D27" s="133">
        <v>6</v>
      </c>
      <c r="E27" s="132">
        <f t="shared" ref="E27:E29" si="2">C27*D27</f>
        <v>474.58199999999999</v>
      </c>
    </row>
    <row r="28" spans="1:5" x14ac:dyDescent="0.25">
      <c r="A28" s="136">
        <v>4</v>
      </c>
      <c r="B28" s="134" t="s">
        <v>103</v>
      </c>
      <c r="C28" s="137">
        <f>149.41*1.15*1.04</f>
        <v>178.69435999999999</v>
      </c>
      <c r="D28" s="134">
        <v>6</v>
      </c>
      <c r="E28" s="132">
        <f t="shared" si="2"/>
        <v>1072.16616</v>
      </c>
    </row>
    <row r="29" spans="1:5" x14ac:dyDescent="0.25">
      <c r="A29" s="136">
        <v>5</v>
      </c>
      <c r="B29" s="50" t="s">
        <v>97</v>
      </c>
      <c r="C29" s="132">
        <v>100</v>
      </c>
      <c r="D29" s="133">
        <v>2</v>
      </c>
      <c r="E29" s="132">
        <f t="shared" si="2"/>
        <v>200</v>
      </c>
    </row>
    <row r="30" spans="1:5" x14ac:dyDescent="0.25">
      <c r="A30" s="50"/>
      <c r="B30" s="50" t="s">
        <v>81</v>
      </c>
      <c r="C30" s="51"/>
      <c r="D30" s="50"/>
      <c r="E30" s="51">
        <f>SUM(E25:E29)</f>
        <v>3824.2517600000001</v>
      </c>
    </row>
    <row r="31" spans="1:5" x14ac:dyDescent="0.25">
      <c r="A31" s="50"/>
      <c r="B31" s="50" t="s">
        <v>118</v>
      </c>
      <c r="C31" s="51"/>
      <c r="D31" s="50"/>
      <c r="E31" s="51">
        <f>E30*0.24</f>
        <v>917.82042239999998</v>
      </c>
    </row>
    <row r="32" spans="1:5" x14ac:dyDescent="0.25">
      <c r="A32" s="58"/>
      <c r="B32" s="57" t="s">
        <v>98</v>
      </c>
      <c r="C32" s="60"/>
      <c r="D32" s="57"/>
      <c r="E32" s="157">
        <f>_xlfn.CEILING.PRECISE((E30+E31)/14)+1</f>
        <v>340</v>
      </c>
    </row>
    <row r="34" spans="1:4" x14ac:dyDescent="0.25">
      <c r="A34" s="159" t="s">
        <v>122</v>
      </c>
      <c r="B34" s="159"/>
      <c r="C34" s="159"/>
      <c r="D34" s="159" t="s">
        <v>123</v>
      </c>
    </row>
  </sheetData>
  <mergeCells count="4">
    <mergeCell ref="A1:H1"/>
    <mergeCell ref="A2:A3"/>
    <mergeCell ref="B2:B3"/>
    <mergeCell ref="C2:E2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3"/>
  <sheetViews>
    <sheetView view="pageBreakPreview" zoomScale="60" workbookViewId="0">
      <selection activeCell="G43" sqref="G43"/>
    </sheetView>
  </sheetViews>
  <sheetFormatPr defaultRowHeight="15" x14ac:dyDescent="0.25"/>
  <cols>
    <col min="1" max="1" width="4" customWidth="1"/>
    <col min="2" max="2" width="82.85546875" customWidth="1"/>
    <col min="3" max="3" width="30.5703125" hidden="1" customWidth="1"/>
    <col min="4" max="4" width="45" customWidth="1"/>
    <col min="5" max="5" width="12.42578125" customWidth="1"/>
    <col min="6" max="6" width="14.28515625" customWidth="1"/>
    <col min="7" max="7" width="13.42578125" customWidth="1"/>
    <col min="8" max="8" width="14.28515625" customWidth="1"/>
    <col min="9" max="9" width="9.85546875" customWidth="1"/>
    <col min="10" max="10" width="12.5703125" customWidth="1"/>
    <col min="11" max="11" width="10" customWidth="1"/>
    <col min="12" max="12" width="11.42578125" customWidth="1"/>
    <col min="13" max="13" width="9.42578125" customWidth="1"/>
    <col min="14" max="14" width="4.140625" customWidth="1"/>
    <col min="15" max="15" width="15" customWidth="1"/>
    <col min="16" max="16" width="13.28515625" customWidth="1"/>
    <col min="17" max="17" width="13.7109375" customWidth="1"/>
    <col min="18" max="18" width="9.140625" customWidth="1"/>
    <col min="31" max="31" width="9.140625" customWidth="1"/>
  </cols>
  <sheetData>
    <row r="1" spans="1:15" x14ac:dyDescent="0.25">
      <c r="A1" s="11"/>
      <c r="B1" s="12"/>
      <c r="C1" s="12"/>
      <c r="D1" s="240" t="s">
        <v>0</v>
      </c>
      <c r="E1" s="125"/>
      <c r="F1" s="125"/>
      <c r="G1" s="11"/>
      <c r="H1" s="11"/>
      <c r="I1" s="11"/>
      <c r="J1" s="11"/>
      <c r="O1" s="11"/>
    </row>
    <row r="2" spans="1:15" ht="15.75" customHeight="1" x14ac:dyDescent="0.25">
      <c r="A2" s="11"/>
      <c r="B2" s="12"/>
      <c r="C2" s="12"/>
      <c r="D2" s="240" t="s">
        <v>30</v>
      </c>
      <c r="E2" s="128"/>
      <c r="F2" s="128"/>
      <c r="G2" s="11"/>
      <c r="H2" s="11"/>
      <c r="I2" s="11"/>
      <c r="J2" s="11"/>
      <c r="O2" s="11"/>
    </row>
    <row r="3" spans="1:15" x14ac:dyDescent="0.25">
      <c r="A3" s="11"/>
      <c r="B3" s="12"/>
      <c r="C3" s="12"/>
      <c r="D3" s="240" t="s">
        <v>31</v>
      </c>
      <c r="E3" s="11"/>
      <c r="F3" s="11"/>
      <c r="G3" s="11"/>
      <c r="H3" s="11"/>
      <c r="I3" s="11"/>
      <c r="J3" s="11"/>
      <c r="O3" s="11"/>
    </row>
    <row r="4" spans="1:15" x14ac:dyDescent="0.25">
      <c r="A4" s="11"/>
      <c r="B4" s="12"/>
      <c r="C4" s="12"/>
      <c r="D4" s="240" t="s">
        <v>37</v>
      </c>
      <c r="E4" s="11"/>
      <c r="F4" s="11"/>
      <c r="G4" s="11"/>
      <c r="H4" s="11"/>
      <c r="I4" s="11"/>
      <c r="J4" s="11"/>
      <c r="O4" s="11"/>
    </row>
    <row r="5" spans="1:15" x14ac:dyDescent="0.25">
      <c r="A5" s="11"/>
      <c r="B5" s="12"/>
      <c r="C5" s="12"/>
      <c r="D5" s="24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x14ac:dyDescent="0.25">
      <c r="A6" s="11"/>
      <c r="B6" s="11"/>
      <c r="C6" s="11"/>
      <c r="D6" s="240" t="s">
        <v>166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5.75" x14ac:dyDescent="0.25">
      <c r="A7" s="404" t="s">
        <v>116</v>
      </c>
      <c r="B7" s="404"/>
      <c r="C7" s="404"/>
      <c r="D7" s="404"/>
      <c r="E7" s="126"/>
      <c r="F7" s="126"/>
      <c r="G7" s="11"/>
      <c r="H7" s="11"/>
      <c r="I7" s="11"/>
      <c r="J7" s="11"/>
      <c r="M7" s="11"/>
      <c r="N7" s="11"/>
      <c r="O7" s="11"/>
    </row>
    <row r="8" spans="1:15" ht="15.75" x14ac:dyDescent="0.25">
      <c r="A8" s="404" t="s">
        <v>117</v>
      </c>
      <c r="B8" s="404"/>
      <c r="C8" s="404"/>
      <c r="D8" s="404"/>
      <c r="E8" s="126"/>
      <c r="F8" s="126"/>
      <c r="G8" s="11"/>
      <c r="H8" s="11"/>
      <c r="I8" s="11"/>
      <c r="J8" s="11"/>
      <c r="K8" s="11"/>
      <c r="L8" s="11"/>
      <c r="M8" s="11"/>
      <c r="N8" s="11"/>
      <c r="O8" s="11"/>
    </row>
    <row r="9" spans="1:15" ht="15.75" customHeight="1" x14ac:dyDescent="0.25">
      <c r="A9" s="404" t="s">
        <v>172</v>
      </c>
      <c r="B9" s="404"/>
      <c r="C9" s="404"/>
      <c r="D9" s="404"/>
      <c r="E9" s="127"/>
      <c r="F9" s="127"/>
      <c r="G9" s="11"/>
      <c r="H9" s="11"/>
      <c r="I9" s="11"/>
      <c r="J9" s="11"/>
      <c r="K9" s="11"/>
      <c r="L9" s="11"/>
      <c r="M9" s="11"/>
      <c r="N9" s="11"/>
      <c r="O9" s="11"/>
    </row>
    <row r="10" spans="1:15" ht="15" customHeight="1" x14ac:dyDescent="0.25">
      <c r="A10" s="405" t="s">
        <v>121</v>
      </c>
      <c r="B10" s="405"/>
      <c r="C10" s="405"/>
      <c r="D10" s="405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s="100" customFormat="1" x14ac:dyDescent="0.25">
      <c r="A11" s="248"/>
      <c r="B11" s="248"/>
      <c r="C11" s="248"/>
      <c r="D11" s="248"/>
      <c r="E11" s="156"/>
      <c r="F11" s="156"/>
      <c r="G11" s="156"/>
      <c r="H11" s="156"/>
      <c r="I11" s="156"/>
      <c r="J11" s="156"/>
      <c r="K11" s="156"/>
      <c r="L11" s="156"/>
      <c r="M11" s="156"/>
    </row>
    <row r="12" spans="1:15" ht="28.5" customHeight="1" x14ac:dyDescent="0.25">
      <c r="A12" s="378" t="s">
        <v>3</v>
      </c>
      <c r="B12" s="381" t="s">
        <v>29</v>
      </c>
      <c r="C12" s="406" t="s">
        <v>176</v>
      </c>
      <c r="D12" s="406"/>
    </row>
    <row r="13" spans="1:15" ht="24.75" customHeight="1" x14ac:dyDescent="0.25">
      <c r="A13" s="379"/>
      <c r="B13" s="382"/>
      <c r="C13" s="406" t="s">
        <v>174</v>
      </c>
      <c r="D13" s="406"/>
    </row>
    <row r="14" spans="1:15" ht="28.9" customHeight="1" x14ac:dyDescent="0.25">
      <c r="A14" s="379"/>
      <c r="B14" s="382"/>
      <c r="C14" s="406" t="s">
        <v>175</v>
      </c>
      <c r="D14" s="406"/>
      <c r="E14" s="155">
        <f>'озд. путевки по нозологиям'!E13</f>
        <v>340</v>
      </c>
      <c r="F14" s="411">
        <f>E14*14</f>
        <v>4760</v>
      </c>
      <c r="G14" s="411"/>
      <c r="H14" s="411"/>
    </row>
    <row r="15" spans="1:15" ht="43.5" customHeight="1" x14ac:dyDescent="0.25">
      <c r="A15" s="380"/>
      <c r="B15" s="383"/>
      <c r="C15" s="229" t="s">
        <v>106</v>
      </c>
      <c r="D15" s="229" t="s">
        <v>170</v>
      </c>
      <c r="E15" s="92"/>
      <c r="I15" s="229" t="s">
        <v>105</v>
      </c>
    </row>
    <row r="16" spans="1:15" x14ac:dyDescent="0.25">
      <c r="A16" s="25">
        <v>1</v>
      </c>
      <c r="B16" s="401" t="s">
        <v>4</v>
      </c>
      <c r="C16" s="402"/>
      <c r="D16" s="403"/>
      <c r="E16" s="92"/>
    </row>
    <row r="17" spans="1:4" x14ac:dyDescent="0.25">
      <c r="A17" s="27"/>
      <c r="B17" s="268" t="s">
        <v>5</v>
      </c>
      <c r="C17" s="269">
        <f>$E$14/'прейс стор по нозологиям'!C17</f>
        <v>0.23287671232876711</v>
      </c>
      <c r="D17" s="236">
        <f>C17</f>
        <v>0.23287671232876711</v>
      </c>
    </row>
    <row r="18" spans="1:4" x14ac:dyDescent="0.25">
      <c r="A18" s="27"/>
      <c r="B18" s="268" t="s">
        <v>6</v>
      </c>
      <c r="C18" s="269">
        <f>$E$14/'прейс стор по нозологиям'!C18</f>
        <v>0.25757575757575757</v>
      </c>
      <c r="D18" s="236">
        <f t="shared" ref="D18:D20" si="0">C18</f>
        <v>0.25757575757575757</v>
      </c>
    </row>
    <row r="19" spans="1:4" hidden="1" x14ac:dyDescent="0.25">
      <c r="A19" s="27"/>
      <c r="B19" s="268" t="s">
        <v>7</v>
      </c>
      <c r="C19" s="269">
        <f>$E$14/'прейс стор по нозологиям'!C19</f>
        <v>0.27868852459016391</v>
      </c>
      <c r="D19" s="236">
        <f t="shared" si="0"/>
        <v>0.27868852459016391</v>
      </c>
    </row>
    <row r="20" spans="1:4" x14ac:dyDescent="0.25">
      <c r="A20" s="27"/>
      <c r="B20" s="268" t="s">
        <v>8</v>
      </c>
      <c r="C20" s="269">
        <f>$E$14/'прейс стор по нозологиям'!C20</f>
        <v>9.8265895953757232E-2</v>
      </c>
      <c r="D20" s="236">
        <f t="shared" si="0"/>
        <v>9.8265895953757232E-2</v>
      </c>
    </row>
    <row r="21" spans="1:4" x14ac:dyDescent="0.25">
      <c r="A21" s="25">
        <v>2</v>
      </c>
      <c r="B21" s="401" t="s">
        <v>9</v>
      </c>
      <c r="C21" s="402"/>
      <c r="D21" s="403"/>
    </row>
    <row r="22" spans="1:4" x14ac:dyDescent="0.25">
      <c r="A22" s="27"/>
      <c r="B22" s="268" t="s">
        <v>5</v>
      </c>
      <c r="C22" s="269">
        <f>$E$14/'прейс стор по нозологиям'!C22</f>
        <v>0.20481927710843373</v>
      </c>
      <c r="D22" s="236">
        <f>C22</f>
        <v>0.20481927710843373</v>
      </c>
    </row>
    <row r="23" spans="1:4" x14ac:dyDescent="0.25">
      <c r="A23" s="27"/>
      <c r="B23" s="268" t="s">
        <v>6</v>
      </c>
      <c r="C23" s="269">
        <f>$E$14/'прейс стор по нозологиям'!C23</f>
        <v>0.22368421052631579</v>
      </c>
      <c r="D23" s="236">
        <f t="shared" ref="D23:D25" si="1">C23</f>
        <v>0.22368421052631579</v>
      </c>
    </row>
    <row r="24" spans="1:4" hidden="1" x14ac:dyDescent="0.25">
      <c r="A24" s="27"/>
      <c r="B24" s="268" t="s">
        <v>7</v>
      </c>
      <c r="C24" s="269">
        <f>$E$14/'прейс стор по нозологиям'!C24</f>
        <v>0.23943661971830985</v>
      </c>
      <c r="D24" s="236">
        <f t="shared" si="1"/>
        <v>0.23943661971830985</v>
      </c>
    </row>
    <row r="25" spans="1:4" x14ac:dyDescent="0.25">
      <c r="A25" s="27"/>
      <c r="B25" s="268" t="s">
        <v>8</v>
      </c>
      <c r="C25" s="269">
        <f>$E$14/'прейс стор по нозологиям'!C25</f>
        <v>9.2896174863387984E-2</v>
      </c>
      <c r="D25" s="236">
        <f t="shared" si="1"/>
        <v>9.2896174863387984E-2</v>
      </c>
    </row>
    <row r="26" spans="1:4" x14ac:dyDescent="0.25">
      <c r="A26" s="25">
        <v>3</v>
      </c>
      <c r="B26" s="401" t="s">
        <v>10</v>
      </c>
      <c r="C26" s="402"/>
      <c r="D26" s="403"/>
    </row>
    <row r="27" spans="1:4" x14ac:dyDescent="0.25">
      <c r="A27" s="27"/>
      <c r="B27" s="268" t="s">
        <v>5</v>
      </c>
      <c r="C27" s="269">
        <f>$E$14/'прейс стор по нозологиям'!C27</f>
        <v>0.18994413407821228</v>
      </c>
      <c r="D27" s="236">
        <f>C27</f>
        <v>0.18994413407821228</v>
      </c>
    </row>
    <row r="28" spans="1:4" x14ac:dyDescent="0.25">
      <c r="A28" s="27"/>
      <c r="B28" s="268" t="s">
        <v>6</v>
      </c>
      <c r="C28" s="269">
        <f>$E$14/'прейс стор по нозологиям'!C28</f>
        <v>0.20606060606060606</v>
      </c>
      <c r="D28" s="236">
        <f t="shared" ref="D28:D35" si="2">C28</f>
        <v>0.20606060606060606</v>
      </c>
    </row>
    <row r="29" spans="1:4" hidden="1" x14ac:dyDescent="0.25">
      <c r="A29" s="27"/>
      <c r="B29" s="268" t="s">
        <v>7</v>
      </c>
      <c r="C29" s="269">
        <f>$E$14/'прейс стор по нозологиям'!C29</f>
        <v>0.21935483870967742</v>
      </c>
      <c r="D29" s="236">
        <f t="shared" si="2"/>
        <v>0.21935483870967742</v>
      </c>
    </row>
    <row r="30" spans="1:4" x14ac:dyDescent="0.25">
      <c r="A30" s="27"/>
      <c r="B30" s="268" t="s">
        <v>8</v>
      </c>
      <c r="C30" s="269">
        <f>$E$14/'прейс стор по нозологиям'!C30</f>
        <v>8.9709762532981532E-2</v>
      </c>
      <c r="D30" s="236">
        <f t="shared" si="2"/>
        <v>8.9709762532981532E-2</v>
      </c>
    </row>
    <row r="31" spans="1:4" x14ac:dyDescent="0.25">
      <c r="A31" s="110">
        <v>4</v>
      </c>
      <c r="B31" s="401" t="s">
        <v>83</v>
      </c>
      <c r="C31" s="402"/>
      <c r="D31" s="403"/>
    </row>
    <row r="32" spans="1:4" x14ac:dyDescent="0.25">
      <c r="A32" s="27"/>
      <c r="B32" s="268" t="s">
        <v>84</v>
      </c>
      <c r="C32" s="269">
        <f>$E$14/'прейс стор по нозологиям'!C32</f>
        <v>0.38202247191011235</v>
      </c>
      <c r="D32" s="236">
        <f t="shared" si="2"/>
        <v>0.38202247191011235</v>
      </c>
    </row>
    <row r="33" spans="1:5" x14ac:dyDescent="0.25">
      <c r="A33" s="108"/>
      <c r="B33" s="268" t="s">
        <v>85</v>
      </c>
      <c r="C33" s="269">
        <f>$E$14/'прейс стор по нозологиям'!C33</f>
        <v>0.31192660550458717</v>
      </c>
      <c r="D33" s="236">
        <f t="shared" si="2"/>
        <v>0.31192660550458717</v>
      </c>
    </row>
    <row r="34" spans="1:5" hidden="1" x14ac:dyDescent="0.25">
      <c r="A34" s="108"/>
      <c r="B34" s="268" t="s">
        <v>107</v>
      </c>
      <c r="C34" s="269">
        <f>$E$14/'прейс стор по нозологиям'!C34</f>
        <v>0.27868852459016391</v>
      </c>
      <c r="D34" s="236">
        <f t="shared" si="2"/>
        <v>0.27868852459016391</v>
      </c>
    </row>
    <row r="35" spans="1:5" x14ac:dyDescent="0.25">
      <c r="A35" s="25">
        <v>5</v>
      </c>
      <c r="B35" s="270" t="s">
        <v>104</v>
      </c>
      <c r="C35" s="269">
        <f>$E$14/'прейс стор по нозологиям'!C35</f>
        <v>0.53125</v>
      </c>
      <c r="D35" s="236">
        <f t="shared" si="2"/>
        <v>0.53125</v>
      </c>
      <c r="E35" s="130"/>
    </row>
    <row r="36" spans="1:5" x14ac:dyDescent="0.25">
      <c r="A36" s="1">
        <v>6</v>
      </c>
      <c r="B36" s="412" t="s">
        <v>108</v>
      </c>
      <c r="C36" s="413"/>
      <c r="D36" s="414"/>
    </row>
    <row r="37" spans="1:5" x14ac:dyDescent="0.25">
      <c r="A37" s="1"/>
      <c r="B37" s="271" t="s">
        <v>6</v>
      </c>
      <c r="C37" s="269">
        <f>$E$14/'прейс стор по нозологиям'!C37</f>
        <v>0.31627906976744186</v>
      </c>
      <c r="D37" s="236">
        <f t="shared" ref="D37:D48" si="3">C37</f>
        <v>0.31627906976744186</v>
      </c>
    </row>
    <row r="38" spans="1:5" hidden="1" x14ac:dyDescent="0.25">
      <c r="A38" s="1"/>
      <c r="B38" s="271" t="s">
        <v>7</v>
      </c>
      <c r="C38" s="269">
        <f>$E$14/'прейс стор по нозологиям'!C38</f>
        <v>0.33830845771144274</v>
      </c>
      <c r="D38" s="269">
        <f t="shared" si="3"/>
        <v>0.33830845771144274</v>
      </c>
    </row>
    <row r="39" spans="1:5" x14ac:dyDescent="0.25">
      <c r="A39" s="1">
        <v>7</v>
      </c>
      <c r="B39" s="412" t="s">
        <v>109</v>
      </c>
      <c r="C39" s="413"/>
      <c r="D39" s="414"/>
    </row>
    <row r="40" spans="1:5" x14ac:dyDescent="0.25">
      <c r="A40" s="1"/>
      <c r="B40" s="271" t="s">
        <v>6</v>
      </c>
      <c r="C40" s="269">
        <f>$E$14/'прейс стор по нозологиям'!C40</f>
        <v>0.27755102040816326</v>
      </c>
      <c r="D40" s="236">
        <f t="shared" si="3"/>
        <v>0.27755102040816326</v>
      </c>
    </row>
    <row r="41" spans="1:5" hidden="1" x14ac:dyDescent="0.25">
      <c r="A41" s="1"/>
      <c r="B41" s="271" t="s">
        <v>7</v>
      </c>
      <c r="C41" s="269">
        <f>$E$14/'прейс стор по нозологиям'!C41</f>
        <v>0.2943722943722944</v>
      </c>
      <c r="D41" s="269">
        <f t="shared" si="3"/>
        <v>0.2943722943722944</v>
      </c>
    </row>
    <row r="42" spans="1:5" x14ac:dyDescent="0.25">
      <c r="A42" s="1">
        <v>8</v>
      </c>
      <c r="B42" s="412" t="s">
        <v>110</v>
      </c>
      <c r="C42" s="413"/>
      <c r="D42" s="414"/>
    </row>
    <row r="43" spans="1:5" x14ac:dyDescent="0.25">
      <c r="A43" s="1"/>
      <c r="B43" s="271" t="s">
        <v>6</v>
      </c>
      <c r="C43" s="269">
        <f>$E$14/'прейс стор по нозологиям'!C43</f>
        <v>0.25660377358490566</v>
      </c>
      <c r="D43" s="236">
        <f t="shared" si="3"/>
        <v>0.25660377358490566</v>
      </c>
    </row>
    <row r="44" spans="1:5" hidden="1" x14ac:dyDescent="0.25">
      <c r="A44" s="1"/>
      <c r="B44" s="271" t="s">
        <v>7</v>
      </c>
      <c r="C44" s="269">
        <f>$E$14/'прейс стор по нозологиям'!C44</f>
        <v>0.27091633466135456</v>
      </c>
      <c r="D44" s="269">
        <f t="shared" si="3"/>
        <v>0.27091633466135456</v>
      </c>
    </row>
    <row r="45" spans="1:5" x14ac:dyDescent="0.25">
      <c r="A45" s="1">
        <v>9</v>
      </c>
      <c r="B45" s="412" t="s">
        <v>111</v>
      </c>
      <c r="C45" s="413"/>
      <c r="D45" s="414"/>
    </row>
    <row r="46" spans="1:5" x14ac:dyDescent="0.25">
      <c r="A46" s="147"/>
      <c r="B46" s="271" t="s">
        <v>84</v>
      </c>
      <c r="C46" s="269">
        <f>$E$14/'прейс стор по нозологиям'!C46</f>
        <v>0.45033112582781459</v>
      </c>
      <c r="D46" s="236">
        <f t="shared" si="3"/>
        <v>0.45033112582781459</v>
      </c>
    </row>
    <row r="47" spans="1:5" x14ac:dyDescent="0.25">
      <c r="A47" s="147"/>
      <c r="B47" s="271" t="s">
        <v>85</v>
      </c>
      <c r="C47" s="269">
        <f>$E$14/'прейс стор по нозологиям'!C47</f>
        <v>0.37569060773480661</v>
      </c>
      <c r="D47" s="236">
        <f t="shared" si="3"/>
        <v>0.37569060773480661</v>
      </c>
    </row>
    <row r="48" spans="1:5" x14ac:dyDescent="0.25">
      <c r="A48" s="147"/>
      <c r="B48" s="271" t="s">
        <v>107</v>
      </c>
      <c r="C48" s="269">
        <f>$E$14/'прейс стор по нозологиям'!C48</f>
        <v>0.33830845771144274</v>
      </c>
      <c r="D48" s="236">
        <f t="shared" si="3"/>
        <v>0.33830845771144274</v>
      </c>
    </row>
    <row r="49" spans="1:16" x14ac:dyDescent="0.25">
      <c r="A49" s="32"/>
      <c r="B49" s="32"/>
      <c r="C49" s="410"/>
      <c r="D49" s="410"/>
      <c r="E49" s="129"/>
      <c r="F49" s="129"/>
      <c r="G49" s="395"/>
      <c r="H49" s="395"/>
      <c r="I49" s="129"/>
      <c r="J49" s="129"/>
      <c r="K49" s="129"/>
      <c r="L49" s="117"/>
      <c r="M49" s="103"/>
    </row>
    <row r="50" spans="1:16" x14ac:dyDescent="0.25">
      <c r="A50" s="23"/>
      <c r="B50" s="152" t="s">
        <v>113</v>
      </c>
      <c r="C50" s="152"/>
      <c r="D50" s="154" t="s">
        <v>114</v>
      </c>
      <c r="E50" s="222"/>
      <c r="F50" s="11"/>
      <c r="G50" s="11"/>
      <c r="H50" s="11"/>
      <c r="I50" s="44"/>
      <c r="J50" s="44"/>
      <c r="K50" s="44"/>
      <c r="L50" s="45"/>
    </row>
    <row r="51" spans="1:16" x14ac:dyDescent="0.25">
      <c r="A51" s="18"/>
      <c r="B51" s="409"/>
      <c r="C51" s="409"/>
      <c r="D51" s="153"/>
      <c r="E51" s="14"/>
      <c r="F51" s="11"/>
      <c r="G51" s="11"/>
      <c r="H51" s="11"/>
      <c r="I51" s="46"/>
      <c r="J51" s="40"/>
      <c r="K51" s="40"/>
      <c r="L51" s="40"/>
    </row>
    <row r="52" spans="1:16" x14ac:dyDescent="0.25">
      <c r="A52" s="18"/>
      <c r="B52" s="409" t="s">
        <v>11</v>
      </c>
      <c r="C52" s="409"/>
      <c r="D52" s="154" t="s">
        <v>12</v>
      </c>
      <c r="E52" s="222"/>
      <c r="F52" s="11"/>
      <c r="G52" s="11"/>
      <c r="H52" s="11"/>
      <c r="I52" s="18"/>
      <c r="J52" s="11"/>
      <c r="K52" s="11"/>
      <c r="L52" s="11"/>
    </row>
    <row r="53" spans="1:16" x14ac:dyDescent="0.25">
      <c r="A53" s="18"/>
      <c r="B53" s="409"/>
      <c r="C53" s="409"/>
      <c r="D53" s="153"/>
      <c r="E53" s="14"/>
      <c r="F53" s="11"/>
      <c r="G53" s="11"/>
      <c r="H53" s="11"/>
      <c r="I53" s="18"/>
      <c r="J53" s="11"/>
      <c r="K53" s="11"/>
      <c r="L53" s="11"/>
    </row>
    <row r="54" spans="1:16" x14ac:dyDescent="0.25">
      <c r="A54" s="18"/>
      <c r="B54" s="409" t="s">
        <v>13</v>
      </c>
      <c r="C54" s="409"/>
      <c r="D54" s="153"/>
      <c r="E54" s="14"/>
      <c r="F54" s="11"/>
      <c r="G54" s="11"/>
      <c r="H54" s="11"/>
      <c r="I54" s="18"/>
      <c r="J54" s="11"/>
      <c r="K54" s="11"/>
      <c r="L54" s="11"/>
    </row>
    <row r="55" spans="1:16" x14ac:dyDescent="0.25">
      <c r="A55" s="18"/>
      <c r="B55" s="409"/>
      <c r="C55" s="409"/>
      <c r="D55" s="153"/>
      <c r="E55" s="14"/>
      <c r="F55" s="11"/>
      <c r="G55" s="11"/>
      <c r="H55" s="11"/>
      <c r="I55" s="18"/>
      <c r="J55" s="11"/>
      <c r="K55" s="11"/>
      <c r="L55" s="11"/>
    </row>
    <row r="56" spans="1:16" x14ac:dyDescent="0.25">
      <c r="A56" s="19"/>
      <c r="B56" s="409" t="s">
        <v>115</v>
      </c>
      <c r="C56" s="409"/>
      <c r="D56" s="154" t="s">
        <v>28</v>
      </c>
      <c r="E56" s="222"/>
      <c r="F56" s="11"/>
      <c r="G56" s="11"/>
      <c r="H56" s="11"/>
      <c r="I56" s="18"/>
      <c r="J56" s="11"/>
      <c r="K56" s="11"/>
      <c r="L56" s="11"/>
    </row>
    <row r="57" spans="1:16" x14ac:dyDescent="0.25">
      <c r="A57" s="20"/>
      <c r="M57" s="18"/>
      <c r="N57" s="11"/>
      <c r="O57" s="11"/>
      <c r="P57" s="11"/>
    </row>
    <row r="58" spans="1:16" x14ac:dyDescent="0.25">
      <c r="A58" s="21"/>
      <c r="B58" s="22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18"/>
      <c r="N58" s="11"/>
      <c r="O58" s="11"/>
      <c r="P58" s="11"/>
    </row>
    <row r="60" spans="1:16" x14ac:dyDescent="0.25">
      <c r="B60" s="33"/>
      <c r="C60" s="34"/>
      <c r="D60" s="35" t="s">
        <v>87</v>
      </c>
      <c r="E60" s="35"/>
      <c r="F60" t="s">
        <v>88</v>
      </c>
      <c r="G60" t="s">
        <v>89</v>
      </c>
    </row>
    <row r="61" spans="1:16" x14ac:dyDescent="0.25">
      <c r="B61" s="33" t="s">
        <v>4</v>
      </c>
      <c r="C61" s="34"/>
      <c r="D61" s="35"/>
      <c r="E61" s="35"/>
    </row>
    <row r="62" spans="1:16" x14ac:dyDescent="0.25">
      <c r="B62" s="34" t="s">
        <v>5</v>
      </c>
      <c r="C62" s="140">
        <v>28210.818348581848</v>
      </c>
      <c r="D62" s="145">
        <v>0.44824407867717003</v>
      </c>
      <c r="E62" s="35"/>
      <c r="F62">
        <f t="shared" ref="F62:F93" si="4">C62*D62</f>
        <v>12645.332279389075</v>
      </c>
      <c r="G62">
        <f t="shared" ref="G62:G93" si="5">C62-F62</f>
        <v>15565.486069192773</v>
      </c>
      <c r="H62" s="49">
        <f>G62+$I$62</f>
        <v>15905.486069192773</v>
      </c>
      <c r="I62" s="49">
        <f>'озд. путевки по нозологиям'!E13</f>
        <v>340</v>
      </c>
      <c r="J62" s="49">
        <f>G62+$K$62</f>
        <v>15905.486069192773</v>
      </c>
      <c r="K62" s="49">
        <f>'озд. путевки по нозологиям'!E23</f>
        <v>340</v>
      </c>
      <c r="L62" s="49">
        <f>G62+$M$62</f>
        <v>15905.486069192773</v>
      </c>
      <c r="M62" s="49">
        <f>'озд. путевки по нозологиям'!E32</f>
        <v>340</v>
      </c>
    </row>
    <row r="63" spans="1:16" x14ac:dyDescent="0.25">
      <c r="B63" s="34" t="s">
        <v>6</v>
      </c>
      <c r="C63" s="140">
        <v>26088.460848909708</v>
      </c>
      <c r="D63" s="145">
        <v>0.48470978616270299</v>
      </c>
      <c r="E63" s="35"/>
      <c r="F63">
        <f t="shared" si="4"/>
        <v>12645.332279389073</v>
      </c>
      <c r="G63">
        <f t="shared" si="5"/>
        <v>13443.128569520635</v>
      </c>
      <c r="H63" s="49">
        <f t="shared" ref="H63:H93" si="6">G63+$I$62</f>
        <v>13783.128569520635</v>
      </c>
      <c r="J63" s="49">
        <f t="shared" ref="J63:J93" si="7">G63+$K$62</f>
        <v>13783.128569520635</v>
      </c>
      <c r="L63">
        <f t="shared" ref="L63:L93" si="8">G63+$M$62</f>
        <v>13783.128569520635</v>
      </c>
    </row>
    <row r="64" spans="1:16" x14ac:dyDescent="0.25">
      <c r="B64" s="34" t="s">
        <v>7</v>
      </c>
      <c r="C64" s="140">
        <v>24626.64533333333</v>
      </c>
      <c r="D64" s="145">
        <v>0.5134817230779305</v>
      </c>
      <c r="E64" s="35"/>
      <c r="F64">
        <f t="shared" si="4"/>
        <v>12645.332279389075</v>
      </c>
      <c r="G64">
        <f t="shared" si="5"/>
        <v>11981.313053944255</v>
      </c>
      <c r="H64" s="49">
        <f t="shared" si="6"/>
        <v>12321.313053944255</v>
      </c>
      <c r="J64" s="49">
        <f t="shared" si="7"/>
        <v>12321.313053944255</v>
      </c>
      <c r="L64">
        <f t="shared" si="8"/>
        <v>12321.313053944255</v>
      </c>
    </row>
    <row r="65" spans="2:12" x14ac:dyDescent="0.25">
      <c r="B65" s="34" t="s">
        <v>8</v>
      </c>
      <c r="C65" s="140">
        <v>38136.034617642494</v>
      </c>
      <c r="D65" s="145">
        <v>0.33158487520197211</v>
      </c>
      <c r="E65" s="35"/>
      <c r="F65">
        <f t="shared" si="4"/>
        <v>12645.332279389075</v>
      </c>
      <c r="G65">
        <f t="shared" si="5"/>
        <v>25490.702338253417</v>
      </c>
      <c r="H65" s="49">
        <f t="shared" si="6"/>
        <v>25830.702338253417</v>
      </c>
      <c r="J65" s="49">
        <f t="shared" si="7"/>
        <v>25830.702338253417</v>
      </c>
      <c r="L65">
        <f t="shared" si="8"/>
        <v>25830.702338253417</v>
      </c>
    </row>
    <row r="66" spans="2:12" x14ac:dyDescent="0.25">
      <c r="B66" s="33" t="s">
        <v>9</v>
      </c>
      <c r="C66" s="140"/>
      <c r="D66" s="145"/>
      <c r="E66" s="35"/>
      <c r="F66">
        <f t="shared" si="4"/>
        <v>0</v>
      </c>
      <c r="G66">
        <f t="shared" si="5"/>
        <v>0</v>
      </c>
      <c r="H66" s="49">
        <f t="shared" si="6"/>
        <v>340</v>
      </c>
      <c r="J66" s="49">
        <f t="shared" si="7"/>
        <v>340</v>
      </c>
      <c r="L66">
        <f t="shared" si="8"/>
        <v>340</v>
      </c>
    </row>
    <row r="67" spans="2:12" x14ac:dyDescent="0.25">
      <c r="B67" s="34" t="s">
        <v>5</v>
      </c>
      <c r="C67" s="140">
        <v>30938.086615248518</v>
      </c>
      <c r="D67" s="145">
        <v>0.40873026301363258</v>
      </c>
      <c r="E67" s="35"/>
      <c r="F67">
        <f t="shared" si="4"/>
        <v>12645.332279389073</v>
      </c>
      <c r="G67">
        <f t="shared" si="5"/>
        <v>18292.754335859445</v>
      </c>
      <c r="H67" s="49">
        <f t="shared" si="6"/>
        <v>18632.754335859445</v>
      </c>
      <c r="J67" s="49">
        <f t="shared" si="7"/>
        <v>18632.754335859445</v>
      </c>
      <c r="L67">
        <f t="shared" si="8"/>
        <v>18632.754335859445</v>
      </c>
    </row>
    <row r="68" spans="2:12" x14ac:dyDescent="0.25">
      <c r="B68" s="34" t="s">
        <v>6</v>
      </c>
      <c r="C68" s="140">
        <v>28815.729115576385</v>
      </c>
      <c r="D68" s="145">
        <v>0.43883436815602289</v>
      </c>
      <c r="E68" s="35"/>
      <c r="F68">
        <f t="shared" si="4"/>
        <v>12645.332279389075</v>
      </c>
      <c r="G68">
        <f t="shared" si="5"/>
        <v>16170.39683618731</v>
      </c>
      <c r="H68" s="49">
        <f t="shared" si="6"/>
        <v>16510.396836187312</v>
      </c>
      <c r="J68" s="49">
        <f t="shared" si="7"/>
        <v>16510.396836187312</v>
      </c>
      <c r="L68">
        <f t="shared" si="8"/>
        <v>16510.396836187312</v>
      </c>
    </row>
    <row r="69" spans="2:12" x14ac:dyDescent="0.25">
      <c r="B69" s="34" t="s">
        <v>7</v>
      </c>
      <c r="C69" s="140">
        <v>27353.9136</v>
      </c>
      <c r="D69" s="145">
        <v>0.46228603571333476</v>
      </c>
      <c r="E69" s="35"/>
      <c r="F69">
        <f t="shared" si="4"/>
        <v>12645.332279389073</v>
      </c>
      <c r="G69">
        <f t="shared" si="5"/>
        <v>14708.581320610927</v>
      </c>
      <c r="H69" s="49">
        <f t="shared" si="6"/>
        <v>15048.581320610927</v>
      </c>
      <c r="J69" s="49">
        <f t="shared" si="7"/>
        <v>15048.581320610927</v>
      </c>
      <c r="L69">
        <f t="shared" si="8"/>
        <v>15048.581320610927</v>
      </c>
    </row>
    <row r="70" spans="2:12" x14ac:dyDescent="0.25">
      <c r="B70" s="34" t="s">
        <v>8</v>
      </c>
      <c r="C70" s="140">
        <v>40863.302884309167</v>
      </c>
      <c r="D70" s="145">
        <v>0.30945448328516473</v>
      </c>
      <c r="E70" s="35"/>
      <c r="F70">
        <f t="shared" si="4"/>
        <v>12645.332279389075</v>
      </c>
      <c r="G70">
        <f t="shared" si="5"/>
        <v>28217.97060492009</v>
      </c>
      <c r="H70" s="49">
        <f t="shared" si="6"/>
        <v>28557.97060492009</v>
      </c>
      <c r="J70" s="49">
        <f t="shared" si="7"/>
        <v>28557.97060492009</v>
      </c>
      <c r="L70">
        <f t="shared" si="8"/>
        <v>28557.97060492009</v>
      </c>
    </row>
    <row r="71" spans="2:12" x14ac:dyDescent="0.25">
      <c r="B71" s="33" t="s">
        <v>10</v>
      </c>
      <c r="C71" s="140"/>
      <c r="D71" s="145"/>
      <c r="E71" s="35"/>
      <c r="F71">
        <f t="shared" si="4"/>
        <v>0</v>
      </c>
      <c r="G71">
        <f t="shared" si="5"/>
        <v>0</v>
      </c>
      <c r="H71" s="49">
        <f t="shared" si="6"/>
        <v>340</v>
      </c>
      <c r="J71" s="49">
        <f t="shared" si="7"/>
        <v>340</v>
      </c>
      <c r="L71">
        <f t="shared" si="8"/>
        <v>340</v>
      </c>
    </row>
    <row r="72" spans="2:12" x14ac:dyDescent="0.25">
      <c r="B72" s="34" t="s">
        <v>5</v>
      </c>
      <c r="C72" s="140">
        <v>32843.39434858186</v>
      </c>
      <c r="D72" s="145">
        <v>0.38501904356104066</v>
      </c>
      <c r="E72" s="35"/>
      <c r="F72">
        <f t="shared" si="4"/>
        <v>12645.332279389077</v>
      </c>
      <c r="G72">
        <f t="shared" si="5"/>
        <v>20198.062069192783</v>
      </c>
      <c r="H72" s="49">
        <f t="shared" si="6"/>
        <v>20538.062069192783</v>
      </c>
      <c r="J72" s="49">
        <f t="shared" si="7"/>
        <v>20538.062069192783</v>
      </c>
      <c r="L72">
        <f t="shared" si="8"/>
        <v>20538.062069192783</v>
      </c>
    </row>
    <row r="73" spans="2:12" x14ac:dyDescent="0.25">
      <c r="B73" s="34" t="s">
        <v>6</v>
      </c>
      <c r="C73" s="140">
        <v>30721.036848909716</v>
      </c>
      <c r="D73" s="145">
        <v>0.4116180173729343</v>
      </c>
      <c r="E73" s="35"/>
      <c r="F73">
        <f t="shared" si="4"/>
        <v>12645.332279389075</v>
      </c>
      <c r="G73">
        <f t="shared" si="5"/>
        <v>18075.70456952064</v>
      </c>
      <c r="H73" s="49">
        <f t="shared" si="6"/>
        <v>18415.70456952064</v>
      </c>
      <c r="J73" s="49">
        <f t="shared" si="7"/>
        <v>18415.70456952064</v>
      </c>
      <c r="L73">
        <f t="shared" si="8"/>
        <v>18415.70456952064</v>
      </c>
    </row>
    <row r="74" spans="2:12" x14ac:dyDescent="0.25">
      <c r="B74" s="34" t="s">
        <v>7</v>
      </c>
      <c r="C74" s="140">
        <v>29259.221333333335</v>
      </c>
      <c r="D74" s="145">
        <v>0.43218280265657583</v>
      </c>
      <c r="E74" s="35"/>
      <c r="F74">
        <f t="shared" si="4"/>
        <v>12645.332279389075</v>
      </c>
      <c r="G74">
        <f t="shared" si="5"/>
        <v>16613.889053944258</v>
      </c>
      <c r="H74" s="49">
        <f t="shared" si="6"/>
        <v>16953.889053944258</v>
      </c>
      <c r="J74" s="49">
        <f t="shared" si="7"/>
        <v>16953.889053944258</v>
      </c>
      <c r="L74">
        <f t="shared" si="8"/>
        <v>16953.889053944258</v>
      </c>
    </row>
    <row r="75" spans="2:12" x14ac:dyDescent="0.25">
      <c r="B75" s="34" t="s">
        <v>8</v>
      </c>
      <c r="C75" s="140">
        <v>42768.610617642495</v>
      </c>
      <c r="D75" s="145">
        <v>0.29566853112064256</v>
      </c>
      <c r="E75" s="35"/>
      <c r="F75">
        <f t="shared" si="4"/>
        <v>12645.332279389075</v>
      </c>
      <c r="G75">
        <f t="shared" si="5"/>
        <v>30123.278338253418</v>
      </c>
      <c r="H75" s="49">
        <f t="shared" si="6"/>
        <v>30463.278338253418</v>
      </c>
      <c r="J75" s="49">
        <f t="shared" si="7"/>
        <v>30463.278338253418</v>
      </c>
      <c r="L75">
        <f t="shared" si="8"/>
        <v>30463.278338253418</v>
      </c>
    </row>
    <row r="76" spans="2:12" x14ac:dyDescent="0.25">
      <c r="B76" s="407" t="s">
        <v>83</v>
      </c>
      <c r="C76" s="408"/>
      <c r="D76" s="139"/>
      <c r="F76">
        <f t="shared" si="4"/>
        <v>0</v>
      </c>
      <c r="G76">
        <f t="shared" si="5"/>
        <v>0</v>
      </c>
      <c r="H76" s="49">
        <f t="shared" si="6"/>
        <v>340</v>
      </c>
      <c r="J76" s="49">
        <f t="shared" si="7"/>
        <v>340</v>
      </c>
      <c r="L76">
        <f t="shared" si="8"/>
        <v>340</v>
      </c>
    </row>
    <row r="77" spans="2:12" x14ac:dyDescent="0.25">
      <c r="B77" s="2" t="s">
        <v>84</v>
      </c>
      <c r="C77" s="141">
        <v>20425.515786136326</v>
      </c>
      <c r="D77" s="139">
        <v>0.61909488170536209</v>
      </c>
      <c r="F77">
        <f t="shared" si="4"/>
        <v>12645.332279389075</v>
      </c>
      <c r="G77">
        <f t="shared" si="5"/>
        <v>7780.1835067472512</v>
      </c>
      <c r="H77" s="49">
        <f t="shared" si="6"/>
        <v>8120.1835067472512</v>
      </c>
      <c r="J77" s="49">
        <f t="shared" si="7"/>
        <v>8120.1835067472512</v>
      </c>
      <c r="L77">
        <f t="shared" si="8"/>
        <v>8120.1835067472512</v>
      </c>
    </row>
    <row r="78" spans="2:12" x14ac:dyDescent="0.25">
      <c r="B78" s="2" t="s">
        <v>85</v>
      </c>
      <c r="C78" s="141">
        <v>23152.784052802996</v>
      </c>
      <c r="D78" s="139">
        <v>0.5461689726190041</v>
      </c>
      <c r="F78">
        <f t="shared" si="4"/>
        <v>12645.332279389075</v>
      </c>
      <c r="G78">
        <f t="shared" si="5"/>
        <v>10507.451773413921</v>
      </c>
      <c r="H78" s="49">
        <f t="shared" si="6"/>
        <v>10847.451773413921</v>
      </c>
      <c r="J78" s="49">
        <f t="shared" si="7"/>
        <v>10847.451773413921</v>
      </c>
      <c r="L78">
        <f t="shared" si="8"/>
        <v>10847.451773413921</v>
      </c>
    </row>
    <row r="79" spans="2:12" x14ac:dyDescent="0.25">
      <c r="B79" s="2" t="s">
        <v>107</v>
      </c>
      <c r="C79" s="141">
        <v>25058.09178613633</v>
      </c>
      <c r="D79" s="139">
        <v>0.50464067205569285</v>
      </c>
      <c r="F79">
        <f t="shared" si="4"/>
        <v>12645.332279389075</v>
      </c>
      <c r="G79">
        <f t="shared" si="5"/>
        <v>12412.759506747256</v>
      </c>
      <c r="H79" s="49">
        <f t="shared" si="6"/>
        <v>12752.759506747256</v>
      </c>
      <c r="J79" s="49">
        <f t="shared" si="7"/>
        <v>12752.759506747256</v>
      </c>
      <c r="L79">
        <f t="shared" si="8"/>
        <v>12752.759506747256</v>
      </c>
    </row>
    <row r="80" spans="2:12" x14ac:dyDescent="0.25">
      <c r="B80" s="142" t="s">
        <v>104</v>
      </c>
      <c r="C80" s="141">
        <v>14415.33227938908</v>
      </c>
      <c r="D80" s="139">
        <v>0.87721406862533891</v>
      </c>
      <c r="F80">
        <f t="shared" si="4"/>
        <v>12645.332279389077</v>
      </c>
      <c r="G80">
        <f t="shared" si="5"/>
        <v>1770.0000000000036</v>
      </c>
      <c r="H80" s="49">
        <f t="shared" si="6"/>
        <v>2110.0000000000036</v>
      </c>
      <c r="J80" s="49">
        <f t="shared" si="7"/>
        <v>2110.0000000000036</v>
      </c>
      <c r="L80">
        <f t="shared" si="8"/>
        <v>2110.0000000000036</v>
      </c>
    </row>
    <row r="81" spans="2:12" x14ac:dyDescent="0.25">
      <c r="B81" s="143" t="s">
        <v>108</v>
      </c>
      <c r="D81" s="139"/>
      <c r="F81">
        <f t="shared" si="4"/>
        <v>0</v>
      </c>
      <c r="G81">
        <f t="shared" si="5"/>
        <v>0</v>
      </c>
      <c r="H81" s="49">
        <f t="shared" si="6"/>
        <v>340</v>
      </c>
      <c r="J81" s="49">
        <f t="shared" si="7"/>
        <v>340</v>
      </c>
      <c r="L81">
        <f t="shared" si="8"/>
        <v>340</v>
      </c>
    </row>
    <row r="82" spans="2:12" x14ac:dyDescent="0.25">
      <c r="B82" s="144" t="s">
        <v>6</v>
      </c>
      <c r="C82" s="141">
        <v>19566.345636682283</v>
      </c>
      <c r="D82" s="139">
        <v>0.48470978616270294</v>
      </c>
      <c r="F82">
        <f t="shared" si="4"/>
        <v>9483.9992095418056</v>
      </c>
      <c r="G82">
        <f t="shared" si="5"/>
        <v>10082.346427140477</v>
      </c>
      <c r="H82" s="49">
        <f t="shared" si="6"/>
        <v>10422.346427140477</v>
      </c>
      <c r="J82" s="49">
        <f t="shared" si="7"/>
        <v>10422.346427140477</v>
      </c>
      <c r="L82">
        <f t="shared" si="8"/>
        <v>10422.346427140477</v>
      </c>
    </row>
    <row r="83" spans="2:12" x14ac:dyDescent="0.25">
      <c r="B83" s="144" t="s">
        <v>7</v>
      </c>
      <c r="C83" s="141">
        <v>18469.983999999997</v>
      </c>
      <c r="D83" s="139">
        <v>0.5134817230779305</v>
      </c>
      <c r="F83">
        <f t="shared" si="4"/>
        <v>9483.9992095418056</v>
      </c>
      <c r="G83">
        <f t="shared" si="5"/>
        <v>8985.9847904581911</v>
      </c>
      <c r="H83" s="49">
        <f t="shared" si="6"/>
        <v>9325.9847904581911</v>
      </c>
      <c r="J83" s="49">
        <f t="shared" si="7"/>
        <v>9325.9847904581911</v>
      </c>
      <c r="L83">
        <f t="shared" si="8"/>
        <v>9325.9847904581911</v>
      </c>
    </row>
    <row r="84" spans="2:12" x14ac:dyDescent="0.25">
      <c r="B84" s="143" t="s">
        <v>109</v>
      </c>
      <c r="C84" s="141"/>
      <c r="D84" s="139"/>
      <c r="F84">
        <f t="shared" si="4"/>
        <v>0</v>
      </c>
      <c r="G84">
        <f t="shared" si="5"/>
        <v>0</v>
      </c>
      <c r="H84" s="49">
        <f t="shared" si="6"/>
        <v>340</v>
      </c>
      <c r="J84" s="49">
        <f t="shared" si="7"/>
        <v>340</v>
      </c>
      <c r="L84">
        <f t="shared" si="8"/>
        <v>340</v>
      </c>
    </row>
    <row r="85" spans="2:12" x14ac:dyDescent="0.25">
      <c r="B85" s="144" t="s">
        <v>6</v>
      </c>
      <c r="C85" s="141">
        <v>21611.796836682282</v>
      </c>
      <c r="D85" s="139">
        <v>0.43883436815602295</v>
      </c>
      <c r="F85">
        <f t="shared" si="4"/>
        <v>9483.9992095418056</v>
      </c>
      <c r="G85">
        <f t="shared" si="5"/>
        <v>12127.797627140477</v>
      </c>
      <c r="H85" s="49">
        <f t="shared" si="6"/>
        <v>12467.797627140477</v>
      </c>
      <c r="J85" s="49">
        <f t="shared" si="7"/>
        <v>12467.797627140477</v>
      </c>
      <c r="L85">
        <f t="shared" si="8"/>
        <v>12467.797627140477</v>
      </c>
    </row>
    <row r="86" spans="2:12" x14ac:dyDescent="0.25">
      <c r="B86" s="144" t="s">
        <v>7</v>
      </c>
      <c r="C86" s="141">
        <v>20515.4352</v>
      </c>
      <c r="D86" s="139">
        <v>0.46228603571333476</v>
      </c>
      <c r="F86">
        <f t="shared" si="4"/>
        <v>9483.9992095418056</v>
      </c>
      <c r="G86">
        <f t="shared" si="5"/>
        <v>11031.435990458194</v>
      </c>
      <c r="H86" s="49">
        <f t="shared" si="6"/>
        <v>11371.435990458194</v>
      </c>
      <c r="J86" s="49">
        <f t="shared" si="7"/>
        <v>11371.435990458194</v>
      </c>
      <c r="L86">
        <f t="shared" si="8"/>
        <v>11371.435990458194</v>
      </c>
    </row>
    <row r="87" spans="2:12" x14ac:dyDescent="0.25">
      <c r="B87" s="143" t="s">
        <v>110</v>
      </c>
      <c r="C87" s="141"/>
      <c r="D87" s="139"/>
      <c r="F87">
        <f t="shared" si="4"/>
        <v>0</v>
      </c>
      <c r="G87">
        <f t="shared" si="5"/>
        <v>0</v>
      </c>
      <c r="H87" s="49">
        <f t="shared" si="6"/>
        <v>340</v>
      </c>
      <c r="J87" s="49">
        <f t="shared" si="7"/>
        <v>340</v>
      </c>
      <c r="L87">
        <f t="shared" si="8"/>
        <v>340</v>
      </c>
    </row>
    <row r="88" spans="2:12" x14ac:dyDescent="0.25">
      <c r="B88" s="144" t="s">
        <v>6</v>
      </c>
      <c r="C88" s="141">
        <v>23040.777636682284</v>
      </c>
      <c r="D88" s="139">
        <v>0.41161801737293435</v>
      </c>
      <c r="F88">
        <f t="shared" si="4"/>
        <v>9483.9992095418056</v>
      </c>
      <c r="G88">
        <f t="shared" si="5"/>
        <v>13556.778427140478</v>
      </c>
      <c r="H88" s="49">
        <f t="shared" si="6"/>
        <v>13896.778427140478</v>
      </c>
      <c r="J88" s="49">
        <f t="shared" si="7"/>
        <v>13896.778427140478</v>
      </c>
      <c r="L88">
        <f t="shared" si="8"/>
        <v>13896.778427140478</v>
      </c>
    </row>
    <row r="89" spans="2:12" x14ac:dyDescent="0.25">
      <c r="B89" s="144" t="s">
        <v>7</v>
      </c>
      <c r="C89" s="141">
        <v>21944.416000000005</v>
      </c>
      <c r="D89" s="139">
        <v>0.43218280265657583</v>
      </c>
      <c r="F89">
        <f t="shared" si="4"/>
        <v>9483.9992095418074</v>
      </c>
      <c r="G89">
        <f t="shared" si="5"/>
        <v>12460.416790458197</v>
      </c>
      <c r="H89" s="49">
        <f t="shared" si="6"/>
        <v>12800.416790458197</v>
      </c>
      <c r="J89" s="49">
        <f t="shared" si="7"/>
        <v>12800.416790458197</v>
      </c>
      <c r="L89">
        <f t="shared" si="8"/>
        <v>12800.416790458197</v>
      </c>
    </row>
    <row r="90" spans="2:12" x14ac:dyDescent="0.25">
      <c r="B90" s="143" t="s">
        <v>111</v>
      </c>
      <c r="C90" s="141"/>
      <c r="D90" s="139"/>
      <c r="F90">
        <f t="shared" si="4"/>
        <v>0</v>
      </c>
      <c r="G90">
        <f t="shared" si="5"/>
        <v>0</v>
      </c>
      <c r="H90" s="49">
        <f t="shared" si="6"/>
        <v>340</v>
      </c>
      <c r="J90" s="49">
        <f t="shared" si="7"/>
        <v>340</v>
      </c>
      <c r="L90">
        <f t="shared" si="8"/>
        <v>340</v>
      </c>
    </row>
    <row r="91" spans="2:12" x14ac:dyDescent="0.25">
      <c r="B91" s="144" t="s">
        <v>84</v>
      </c>
      <c r="C91" s="141">
        <v>15319.136839602243</v>
      </c>
      <c r="D91" s="139">
        <v>0.6190948817053622</v>
      </c>
      <c r="F91">
        <f t="shared" si="4"/>
        <v>9483.9992095418074</v>
      </c>
      <c r="G91">
        <f t="shared" si="5"/>
        <v>5835.1376300604352</v>
      </c>
      <c r="H91" s="49">
        <f t="shared" si="6"/>
        <v>6175.1376300604352</v>
      </c>
      <c r="J91" s="49">
        <f t="shared" si="7"/>
        <v>6175.1376300604352</v>
      </c>
      <c r="L91">
        <f t="shared" si="8"/>
        <v>6175.1376300604352</v>
      </c>
    </row>
    <row r="92" spans="2:12" x14ac:dyDescent="0.25">
      <c r="B92" s="144" t="s">
        <v>85</v>
      </c>
      <c r="C92" s="141">
        <v>17364.588039602248</v>
      </c>
      <c r="D92" s="139">
        <v>0.5461689726190041</v>
      </c>
      <c r="F92">
        <f t="shared" si="4"/>
        <v>9483.9992095418056</v>
      </c>
      <c r="G92">
        <f t="shared" si="5"/>
        <v>7880.588830060442</v>
      </c>
      <c r="H92" s="49">
        <f t="shared" si="6"/>
        <v>8220.588830060442</v>
      </c>
      <c r="J92" s="49">
        <f t="shared" si="7"/>
        <v>8220.588830060442</v>
      </c>
      <c r="L92">
        <f t="shared" si="8"/>
        <v>8220.588830060442</v>
      </c>
    </row>
    <row r="93" spans="2:12" x14ac:dyDescent="0.25">
      <c r="B93" s="144" t="s">
        <v>107</v>
      </c>
      <c r="C93" s="141">
        <v>18793.568839602249</v>
      </c>
      <c r="D93" s="139">
        <v>0.50464067205569274</v>
      </c>
      <c r="F93">
        <f t="shared" si="4"/>
        <v>9483.9992095418038</v>
      </c>
      <c r="G93">
        <f t="shared" si="5"/>
        <v>9309.569630060445</v>
      </c>
      <c r="H93" s="49">
        <f t="shared" si="6"/>
        <v>9649.569630060445</v>
      </c>
      <c r="J93" s="49">
        <f t="shared" si="7"/>
        <v>9649.569630060445</v>
      </c>
      <c r="L93">
        <f t="shared" si="8"/>
        <v>9649.569630060445</v>
      </c>
    </row>
  </sheetData>
  <mergeCells count="27">
    <mergeCell ref="B76:C76"/>
    <mergeCell ref="B51:C51"/>
    <mergeCell ref="C49:D49"/>
    <mergeCell ref="F14:H14"/>
    <mergeCell ref="B52:C52"/>
    <mergeCell ref="B53:C53"/>
    <mergeCell ref="B54:C54"/>
    <mergeCell ref="B55:C55"/>
    <mergeCell ref="B56:C56"/>
    <mergeCell ref="G49:H49"/>
    <mergeCell ref="B39:D39"/>
    <mergeCell ref="B42:D42"/>
    <mergeCell ref="B45:D45"/>
    <mergeCell ref="B36:D36"/>
    <mergeCell ref="B16:D16"/>
    <mergeCell ref="B21:D21"/>
    <mergeCell ref="B26:D26"/>
    <mergeCell ref="B31:D31"/>
    <mergeCell ref="A7:D7"/>
    <mergeCell ref="A8:D8"/>
    <mergeCell ref="A9:D9"/>
    <mergeCell ref="A10:D10"/>
    <mergeCell ref="C12:D12"/>
    <mergeCell ref="A12:A15"/>
    <mergeCell ref="B12:B15"/>
    <mergeCell ref="C13:D13"/>
    <mergeCell ref="C14:D14"/>
  </mergeCells>
  <pageMargins left="0.25" right="0.25" top="0.75" bottom="0.75" header="0.3" footer="0.3"/>
  <pageSetup paperSize="9" scale="75" fitToHeight="0" orientation="portrait" r:id="rId1"/>
  <rowBreaks count="1" manualBreakCount="1">
    <brk id="57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7"/>
  <sheetViews>
    <sheetView view="pageBreakPreview" topLeftCell="A4" zoomScale="60" workbookViewId="0">
      <selection activeCell="L16" sqref="L16"/>
    </sheetView>
  </sheetViews>
  <sheetFormatPr defaultRowHeight="15" x14ac:dyDescent="0.25"/>
  <cols>
    <col min="1" max="1" width="4" customWidth="1"/>
    <col min="2" max="2" width="101.28515625" customWidth="1"/>
    <col min="3" max="3" width="33.7109375" hidden="1" customWidth="1"/>
    <col min="4" max="4" width="41" customWidth="1"/>
    <col min="5" max="5" width="12.42578125" style="224" customWidth="1"/>
    <col min="6" max="6" width="14.28515625" style="224" customWidth="1"/>
    <col min="7" max="7" width="12.5703125" style="224" customWidth="1"/>
    <col min="8" max="8" width="18.7109375" style="224" customWidth="1"/>
    <col min="9" max="9" width="9.85546875" customWidth="1"/>
    <col min="10" max="10" width="12.5703125" customWidth="1"/>
    <col min="11" max="11" width="10" customWidth="1"/>
    <col min="12" max="12" width="11.42578125" customWidth="1"/>
    <col min="13" max="13" width="9.42578125" customWidth="1"/>
    <col min="14" max="14" width="8.140625" customWidth="1"/>
    <col min="15" max="15" width="15" customWidth="1"/>
    <col min="16" max="16" width="13.28515625" customWidth="1"/>
    <col min="17" max="17" width="13.7109375" customWidth="1"/>
    <col min="18" max="18" width="9.140625" customWidth="1"/>
    <col min="19" max="19" width="12.7109375" bestFit="1" customWidth="1"/>
    <col min="20" max="20" width="11.5703125" bestFit="1" customWidth="1"/>
    <col min="31" max="31" width="9.140625" customWidth="1"/>
  </cols>
  <sheetData>
    <row r="1" spans="1:15" x14ac:dyDescent="0.25">
      <c r="A1" s="11"/>
      <c r="B1" s="12"/>
      <c r="C1" s="12"/>
      <c r="D1" s="240" t="s">
        <v>0</v>
      </c>
      <c r="E1" s="125"/>
      <c r="F1" s="125"/>
      <c r="G1" s="11"/>
      <c r="H1" s="11"/>
      <c r="I1" s="11"/>
      <c r="J1" s="11"/>
      <c r="O1" s="11"/>
    </row>
    <row r="2" spans="1:15" ht="15.75" customHeight="1" x14ac:dyDescent="0.25">
      <c r="A2" s="11"/>
      <c r="B2" s="12"/>
      <c r="C2" s="12"/>
      <c r="D2" s="240" t="s">
        <v>30</v>
      </c>
      <c r="E2" s="128"/>
      <c r="F2" s="128"/>
      <c r="G2" s="11"/>
      <c r="H2" s="11"/>
      <c r="I2" s="11"/>
      <c r="J2" s="11"/>
      <c r="O2" s="11"/>
    </row>
    <row r="3" spans="1:15" x14ac:dyDescent="0.25">
      <c r="A3" s="11"/>
      <c r="B3" s="12"/>
      <c r="C3" s="12"/>
      <c r="D3" s="240" t="s">
        <v>31</v>
      </c>
      <c r="E3" s="11"/>
      <c r="F3" s="11"/>
      <c r="G3" s="11"/>
      <c r="H3" s="11"/>
      <c r="I3" s="11"/>
      <c r="J3" s="11"/>
      <c r="O3" s="11"/>
    </row>
    <row r="4" spans="1:15" x14ac:dyDescent="0.25">
      <c r="A4" s="11"/>
      <c r="B4" s="12"/>
      <c r="C4" s="12"/>
      <c r="D4" s="240" t="s">
        <v>37</v>
      </c>
      <c r="E4" s="11"/>
      <c r="F4" s="11"/>
      <c r="G4" s="11"/>
      <c r="H4" s="11"/>
      <c r="I4" s="11"/>
      <c r="J4" s="11"/>
      <c r="O4" s="11"/>
    </row>
    <row r="5" spans="1:15" x14ac:dyDescent="0.25">
      <c r="A5" s="11"/>
      <c r="B5" s="12"/>
      <c r="C5" s="12"/>
      <c r="D5" s="240" t="s">
        <v>168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x14ac:dyDescent="0.25">
      <c r="A6" s="11"/>
      <c r="B6" s="11"/>
      <c r="C6" s="14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5.75" x14ac:dyDescent="0.25">
      <c r="A7" s="374" t="s">
        <v>1</v>
      </c>
      <c r="B7" s="374"/>
      <c r="C7" s="374"/>
      <c r="D7" s="374"/>
      <c r="E7" s="126"/>
      <c r="F7" s="126"/>
      <c r="G7" s="11"/>
      <c r="H7" s="11"/>
      <c r="I7" s="11"/>
      <c r="J7" s="11"/>
      <c r="M7" s="11"/>
      <c r="N7" s="11"/>
      <c r="O7" s="11"/>
    </row>
    <row r="8" spans="1:15" ht="15.75" x14ac:dyDescent="0.25">
      <c r="A8" s="374" t="s">
        <v>33</v>
      </c>
      <c r="B8" s="374"/>
      <c r="C8" s="374"/>
      <c r="D8" s="374"/>
      <c r="E8" s="126"/>
      <c r="F8" s="126"/>
      <c r="G8" s="11"/>
      <c r="H8" s="11"/>
      <c r="I8" s="11"/>
      <c r="J8" s="11"/>
      <c r="K8" s="11"/>
      <c r="L8" s="11"/>
      <c r="M8" s="11"/>
      <c r="N8" s="11"/>
      <c r="O8" s="11"/>
    </row>
    <row r="9" spans="1:15" ht="15.75" customHeight="1" x14ac:dyDescent="0.25">
      <c r="A9" s="375" t="s">
        <v>15</v>
      </c>
      <c r="B9" s="375"/>
      <c r="C9" s="375"/>
      <c r="D9" s="375"/>
      <c r="E9" s="127"/>
      <c r="F9" s="127"/>
      <c r="G9" s="11"/>
      <c r="H9" s="11"/>
      <c r="I9" s="11"/>
      <c r="J9" s="11"/>
      <c r="K9" s="11"/>
      <c r="L9" s="11"/>
      <c r="M9" s="11"/>
      <c r="N9" s="11"/>
      <c r="O9" s="11"/>
    </row>
    <row r="10" spans="1:15" ht="15" customHeight="1" x14ac:dyDescent="0.25">
      <c r="A10" s="405" t="s">
        <v>121</v>
      </c>
      <c r="B10" s="405"/>
      <c r="C10" s="405"/>
      <c r="D10" s="405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s="100" customFormat="1" x14ac:dyDescent="0.25">
      <c r="A11" s="389" t="s">
        <v>167</v>
      </c>
      <c r="B11" s="389"/>
      <c r="C11" s="389"/>
      <c r="D11" s="389"/>
      <c r="E11" s="156"/>
      <c r="F11" s="156"/>
      <c r="G11" s="156"/>
      <c r="H11" s="156"/>
      <c r="I11" s="156"/>
      <c r="J11" s="156"/>
      <c r="K11" s="156"/>
      <c r="L11" s="156"/>
      <c r="M11" s="156"/>
    </row>
    <row r="12" spans="1:15" ht="30.75" customHeight="1" x14ac:dyDescent="0.25">
      <c r="A12" s="378" t="s">
        <v>3</v>
      </c>
      <c r="B12" s="381" t="s">
        <v>29</v>
      </c>
      <c r="C12" s="406" t="s">
        <v>177</v>
      </c>
      <c r="D12" s="406"/>
      <c r="E12"/>
      <c r="F12"/>
      <c r="G12"/>
      <c r="H12"/>
    </row>
    <row r="13" spans="1:15" ht="33" customHeight="1" x14ac:dyDescent="0.25">
      <c r="A13" s="379"/>
      <c r="B13" s="382"/>
      <c r="C13" s="406" t="s">
        <v>179</v>
      </c>
      <c r="D13" s="406"/>
      <c r="E13"/>
      <c r="F13"/>
      <c r="G13"/>
      <c r="H13"/>
    </row>
    <row r="14" spans="1:15" ht="34.9" customHeight="1" x14ac:dyDescent="0.25">
      <c r="A14" s="379"/>
      <c r="B14" s="382"/>
      <c r="C14" s="406" t="s">
        <v>180</v>
      </c>
      <c r="D14" s="406"/>
      <c r="E14" s="250"/>
      <c r="F14" s="251"/>
      <c r="G14" s="251"/>
      <c r="H14"/>
    </row>
    <row r="15" spans="1:15" ht="43.5" customHeight="1" x14ac:dyDescent="0.25">
      <c r="A15" s="380"/>
      <c r="B15" s="383"/>
      <c r="C15" s="228" t="s">
        <v>106</v>
      </c>
      <c r="D15" s="229" t="s">
        <v>170</v>
      </c>
      <c r="E15" s="148" t="s">
        <v>112</v>
      </c>
      <c r="F15" s="252"/>
      <c r="G15" s="100"/>
      <c r="H15"/>
      <c r="J15" s="230"/>
    </row>
    <row r="16" spans="1:15" x14ac:dyDescent="0.25">
      <c r="A16" s="25">
        <v>1</v>
      </c>
      <c r="B16" s="25" t="s">
        <v>4</v>
      </c>
      <c r="C16" s="26"/>
      <c r="D16" s="26"/>
      <c r="E16" s="149"/>
      <c r="F16" s="92"/>
      <c r="G16"/>
      <c r="H16"/>
    </row>
    <row r="17" spans="1:22" x14ac:dyDescent="0.25">
      <c r="A17" s="27"/>
      <c r="B17" s="27" t="s">
        <v>5</v>
      </c>
      <c r="C17" s="299">
        <f>G66+'озд. путевки по нозологиям'!$E$13</f>
        <v>1460</v>
      </c>
      <c r="D17" s="299">
        <f>C17*14</f>
        <v>20440</v>
      </c>
      <c r="E17" s="150">
        <v>26916.631562883744</v>
      </c>
      <c r="F17" s="29"/>
      <c r="G17"/>
      <c r="H17" s="49"/>
      <c r="I17" s="49"/>
      <c r="J17" s="49"/>
      <c r="K17" s="49"/>
      <c r="L17" s="49"/>
      <c r="M17" s="49"/>
      <c r="P17" s="226"/>
      <c r="Q17" s="226"/>
      <c r="R17" s="226"/>
      <c r="S17" s="226"/>
      <c r="T17" s="226"/>
      <c r="U17" s="226"/>
      <c r="V17" s="226"/>
    </row>
    <row r="18" spans="1:22" x14ac:dyDescent="0.25">
      <c r="A18" s="27"/>
      <c r="B18" s="27" t="s">
        <v>6</v>
      </c>
      <c r="C18" s="299">
        <f>G67+'озд. путевки по нозологиям'!$E$13</f>
        <v>1320</v>
      </c>
      <c r="D18" s="299">
        <f t="shared" ref="D18:D20" si="0">C18*14</f>
        <v>18480</v>
      </c>
      <c r="E18" s="150">
        <v>24976.453325703111</v>
      </c>
      <c r="F18" s="29"/>
      <c r="G18"/>
      <c r="H18" s="49"/>
      <c r="I18" s="49"/>
      <c r="J18" s="49"/>
      <c r="K18" s="49"/>
      <c r="L18" s="49"/>
      <c r="M18" s="49"/>
      <c r="P18" s="226"/>
      <c r="Q18" s="226"/>
      <c r="R18" s="226"/>
      <c r="S18" s="226"/>
      <c r="T18" s="226"/>
      <c r="U18" s="226"/>
    </row>
    <row r="19" spans="1:22" hidden="1" x14ac:dyDescent="0.25">
      <c r="A19" s="27"/>
      <c r="B19" s="27" t="s">
        <v>7</v>
      </c>
      <c r="C19" s="299">
        <f>G68+'озд. путевки по нозологиям'!$E$13</f>
        <v>1220</v>
      </c>
      <c r="D19" s="299">
        <f t="shared" si="0"/>
        <v>17080</v>
      </c>
      <c r="E19" s="150">
        <v>23679.466666666664</v>
      </c>
      <c r="F19" s="29"/>
      <c r="G19"/>
      <c r="H19" s="49"/>
      <c r="I19" s="49"/>
      <c r="J19" s="49"/>
      <c r="K19" s="49"/>
      <c r="L19" s="49"/>
      <c r="M19" s="49"/>
      <c r="P19" s="226"/>
      <c r="Q19" s="226"/>
      <c r="R19" s="226"/>
      <c r="S19" s="226"/>
      <c r="T19" s="226"/>
      <c r="U19" s="226"/>
    </row>
    <row r="20" spans="1:22" x14ac:dyDescent="0.25">
      <c r="A20" s="27"/>
      <c r="B20" s="27" t="s">
        <v>8</v>
      </c>
      <c r="C20" s="299">
        <f>G69+'озд. путевки по нозологиям'!$E$13</f>
        <v>3460</v>
      </c>
      <c r="D20" s="299">
        <f t="shared" si="0"/>
        <v>48440</v>
      </c>
      <c r="E20" s="150">
        <v>36408.087683155092</v>
      </c>
      <c r="F20" s="29"/>
      <c r="G20"/>
      <c r="H20" s="49"/>
      <c r="I20" s="49"/>
      <c r="J20" s="49"/>
      <c r="K20" s="49"/>
      <c r="L20" s="49"/>
      <c r="M20" s="49"/>
      <c r="P20" s="226"/>
      <c r="Q20" s="226"/>
      <c r="R20" s="226"/>
      <c r="S20" s="226"/>
      <c r="T20" s="226"/>
      <c r="U20" s="226"/>
    </row>
    <row r="21" spans="1:22" x14ac:dyDescent="0.25">
      <c r="A21" s="25">
        <v>2</v>
      </c>
      <c r="B21" s="25" t="s">
        <v>9</v>
      </c>
      <c r="C21" s="299"/>
      <c r="D21" s="299"/>
      <c r="E21" s="150"/>
      <c r="F21" s="29"/>
      <c r="G21"/>
      <c r="H21" s="49"/>
      <c r="I21" s="49"/>
      <c r="J21" s="49"/>
      <c r="K21" s="49"/>
      <c r="L21" s="49"/>
      <c r="M21" s="49"/>
      <c r="P21" s="226"/>
      <c r="Q21" s="226"/>
      <c r="R21" s="226"/>
      <c r="S21" s="226"/>
      <c r="T21" s="226"/>
      <c r="U21" s="226"/>
    </row>
    <row r="22" spans="1:22" x14ac:dyDescent="0.25">
      <c r="A22" s="27"/>
      <c r="B22" s="27" t="s">
        <v>5</v>
      </c>
      <c r="C22" s="299">
        <f>G71+'озд. путевки по нозологиям'!$E$13</f>
        <v>1660</v>
      </c>
      <c r="D22" s="299">
        <f>C22*14</f>
        <v>23240</v>
      </c>
      <c r="E22" s="150">
        <v>29542.098229550407</v>
      </c>
      <c r="F22" s="29"/>
      <c r="G22"/>
      <c r="H22" s="49"/>
      <c r="I22" s="49"/>
      <c r="J22" s="49"/>
      <c r="K22" s="49"/>
      <c r="L22" s="49"/>
      <c r="M22" s="49"/>
      <c r="P22" s="226"/>
      <c r="Q22" s="226"/>
      <c r="R22" s="226"/>
      <c r="S22" s="226"/>
      <c r="T22" s="226"/>
      <c r="U22" s="226"/>
    </row>
    <row r="23" spans="1:22" x14ac:dyDescent="0.25">
      <c r="A23" s="27"/>
      <c r="B23" s="27" t="s">
        <v>6</v>
      </c>
      <c r="C23" s="299">
        <f>G72+'озд. путевки по нозологиям'!$E$13</f>
        <v>1520</v>
      </c>
      <c r="D23" s="299">
        <f t="shared" ref="D23:D25" si="1">C23*14</f>
        <v>21280</v>
      </c>
      <c r="E23" s="150">
        <v>27601.919992369774</v>
      </c>
      <c r="F23" s="29"/>
      <c r="G23"/>
      <c r="H23" s="49"/>
      <c r="I23" s="49"/>
      <c r="J23" s="49"/>
      <c r="K23" s="49"/>
      <c r="L23" s="49"/>
      <c r="M23" s="49"/>
      <c r="P23" s="226"/>
      <c r="Q23" s="226"/>
      <c r="R23" s="226"/>
      <c r="S23" s="226"/>
      <c r="T23" s="226"/>
      <c r="U23" s="226"/>
    </row>
    <row r="24" spans="1:22" hidden="1" x14ac:dyDescent="0.25">
      <c r="A24" s="27"/>
      <c r="B24" s="27" t="s">
        <v>7</v>
      </c>
      <c r="C24" s="299">
        <f>G73+'озд. путевки по нозологиям'!$E$13</f>
        <v>1420</v>
      </c>
      <c r="D24" s="299">
        <f t="shared" si="1"/>
        <v>19880</v>
      </c>
      <c r="E24" s="150">
        <v>26304.933333333331</v>
      </c>
      <c r="F24" s="29"/>
      <c r="G24"/>
      <c r="H24" s="49"/>
      <c r="I24" s="49"/>
      <c r="J24" s="49"/>
      <c r="K24" s="49"/>
      <c r="L24" s="49"/>
      <c r="M24" s="49"/>
      <c r="P24" s="226"/>
      <c r="Q24" s="226"/>
      <c r="R24" s="226"/>
      <c r="S24" s="226"/>
      <c r="T24" s="226"/>
      <c r="U24" s="226"/>
    </row>
    <row r="25" spans="1:22" x14ac:dyDescent="0.25">
      <c r="A25" s="27"/>
      <c r="B25" s="27" t="s">
        <v>8</v>
      </c>
      <c r="C25" s="299">
        <f>G74+'озд. путевки по нозологиям'!$E$13</f>
        <v>3660</v>
      </c>
      <c r="D25" s="299">
        <f t="shared" si="1"/>
        <v>51240</v>
      </c>
      <c r="E25" s="150">
        <v>39033.554349821759</v>
      </c>
      <c r="F25" s="29"/>
      <c r="G25"/>
      <c r="H25" s="49"/>
      <c r="I25" s="49"/>
      <c r="J25" s="49"/>
      <c r="K25" s="49"/>
      <c r="L25" s="49"/>
      <c r="M25" s="49"/>
      <c r="P25" s="226"/>
      <c r="Q25" s="226"/>
      <c r="R25" s="226"/>
      <c r="S25" s="226"/>
      <c r="T25" s="226"/>
      <c r="U25" s="226"/>
    </row>
    <row r="26" spans="1:22" x14ac:dyDescent="0.25">
      <c r="A26" s="25">
        <v>3</v>
      </c>
      <c r="B26" s="25" t="s">
        <v>10</v>
      </c>
      <c r="C26" s="299"/>
      <c r="D26" s="299"/>
      <c r="E26" s="150"/>
      <c r="F26" s="29"/>
      <c r="G26"/>
      <c r="H26" s="49"/>
      <c r="I26" s="49"/>
      <c r="J26" s="49"/>
      <c r="K26" s="49"/>
      <c r="L26" s="49"/>
      <c r="M26" s="49"/>
      <c r="P26" s="226"/>
      <c r="Q26" s="226"/>
      <c r="R26" s="226"/>
      <c r="S26" s="226"/>
      <c r="T26" s="226"/>
      <c r="U26" s="226"/>
    </row>
    <row r="27" spans="1:22" x14ac:dyDescent="0.25">
      <c r="A27" s="27"/>
      <c r="B27" s="27" t="s">
        <v>5</v>
      </c>
      <c r="C27" s="299">
        <f>G76+'озд. путевки по нозологиям'!$E$13</f>
        <v>1790</v>
      </c>
      <c r="D27" s="299">
        <f>C27*14</f>
        <v>25060</v>
      </c>
      <c r="E27" s="150">
        <v>31371.031562883742</v>
      </c>
      <c r="F27" s="29"/>
      <c r="G27"/>
      <c r="H27" s="49"/>
      <c r="I27" s="49"/>
      <c r="J27" s="49"/>
      <c r="K27" s="49"/>
      <c r="L27" s="49"/>
      <c r="M27" s="49"/>
      <c r="P27" s="226"/>
      <c r="Q27" s="226"/>
      <c r="R27" s="226"/>
      <c r="S27" s="226"/>
      <c r="T27" s="226"/>
      <c r="U27" s="226"/>
    </row>
    <row r="28" spans="1:22" x14ac:dyDescent="0.25">
      <c r="A28" s="27"/>
      <c r="B28" s="27" t="s">
        <v>6</v>
      </c>
      <c r="C28" s="299">
        <f>G77+'озд. путевки по нозологиям'!$E$13</f>
        <v>1650</v>
      </c>
      <c r="D28" s="299">
        <f t="shared" ref="D28:D30" si="2">C28*14</f>
        <v>23100</v>
      </c>
      <c r="E28" s="150">
        <v>29430.853325703109</v>
      </c>
      <c r="F28" s="29"/>
      <c r="G28"/>
      <c r="H28" s="49"/>
      <c r="I28" s="49"/>
      <c r="J28" s="49"/>
      <c r="K28" s="49"/>
      <c r="L28" s="49"/>
      <c r="M28" s="49"/>
      <c r="P28" s="226"/>
      <c r="Q28" s="226"/>
      <c r="R28" s="226"/>
      <c r="S28" s="226"/>
      <c r="T28" s="226"/>
      <c r="U28" s="226"/>
    </row>
    <row r="29" spans="1:22" ht="14.45" hidden="1" customHeight="1" x14ac:dyDescent="0.25">
      <c r="A29" s="27"/>
      <c r="B29" s="27" t="s">
        <v>7</v>
      </c>
      <c r="C29" s="299">
        <f>G78+'озд. путевки по нозологиям'!$E$13</f>
        <v>1550</v>
      </c>
      <c r="D29" s="299">
        <f t="shared" si="2"/>
        <v>21700</v>
      </c>
      <c r="E29" s="150">
        <v>28133.866666666665</v>
      </c>
      <c r="F29" s="29"/>
      <c r="G29"/>
      <c r="H29" s="49"/>
      <c r="I29" s="49"/>
      <c r="J29" s="49"/>
      <c r="K29" s="49"/>
      <c r="L29" s="49"/>
      <c r="M29" s="49"/>
      <c r="P29" s="226"/>
      <c r="Q29" s="226"/>
      <c r="R29" s="226"/>
      <c r="S29" s="226"/>
      <c r="T29" s="226"/>
      <c r="U29" s="226"/>
    </row>
    <row r="30" spans="1:22" x14ac:dyDescent="0.25">
      <c r="A30" s="27"/>
      <c r="B30" s="27" t="s">
        <v>8</v>
      </c>
      <c r="C30" s="299">
        <f>G79+'озд. путевки по нозологиям'!$E$13</f>
        <v>3790</v>
      </c>
      <c r="D30" s="299">
        <f t="shared" si="2"/>
        <v>53060</v>
      </c>
      <c r="E30" s="150">
        <v>40862.487683155094</v>
      </c>
      <c r="F30" s="29"/>
      <c r="G30"/>
      <c r="H30" s="49"/>
      <c r="I30" s="49"/>
      <c r="J30" s="49"/>
      <c r="K30" s="49"/>
      <c r="L30" s="49"/>
      <c r="M30" s="49"/>
      <c r="P30" s="226"/>
      <c r="Q30" s="226"/>
      <c r="R30" s="226"/>
      <c r="S30" s="226"/>
      <c r="T30" s="226"/>
      <c r="U30" s="226"/>
    </row>
    <row r="31" spans="1:22" x14ac:dyDescent="0.25">
      <c r="A31" s="110">
        <v>4</v>
      </c>
      <c r="B31" s="25" t="s">
        <v>83</v>
      </c>
      <c r="C31" s="299"/>
      <c r="D31" s="299"/>
      <c r="E31" s="151"/>
      <c r="F31" s="29"/>
      <c r="G31"/>
      <c r="H31" s="49"/>
      <c r="I31" s="49"/>
      <c r="J31" s="49"/>
      <c r="K31" s="49"/>
      <c r="L31" s="49"/>
      <c r="M31" s="49"/>
      <c r="P31" s="226"/>
      <c r="Q31" s="226"/>
      <c r="R31" s="226"/>
      <c r="S31" s="226"/>
      <c r="T31" s="226"/>
      <c r="U31" s="226"/>
    </row>
    <row r="32" spans="1:22" x14ac:dyDescent="0.25">
      <c r="A32" s="27"/>
      <c r="B32" s="27" t="s">
        <v>84</v>
      </c>
      <c r="C32" s="299">
        <f>G81+'озд. путевки по нозологиям'!$E$13</f>
        <v>890</v>
      </c>
      <c r="D32" s="299">
        <f>C32*14</f>
        <v>12460</v>
      </c>
      <c r="E32" s="150">
        <v>19279.790740156441</v>
      </c>
      <c r="F32" s="29"/>
      <c r="G32"/>
      <c r="H32" s="49"/>
      <c r="I32" s="49"/>
      <c r="J32" s="49"/>
      <c r="K32" s="49"/>
      <c r="L32" s="49"/>
      <c r="M32" s="49"/>
      <c r="P32" s="226"/>
      <c r="Q32" s="226"/>
      <c r="R32" s="226"/>
      <c r="S32" s="226"/>
      <c r="T32" s="226"/>
      <c r="U32" s="226"/>
    </row>
    <row r="33" spans="1:21" x14ac:dyDescent="0.25">
      <c r="A33" s="108"/>
      <c r="B33" s="27" t="s">
        <v>85</v>
      </c>
      <c r="C33" s="299">
        <f>G82+'озд. путевки по нозологиям'!$E$13</f>
        <v>1090</v>
      </c>
      <c r="D33" s="299">
        <f t="shared" ref="D33:D35" si="3">C33*14</f>
        <v>15260</v>
      </c>
      <c r="E33" s="150">
        <v>21905.257406823104</v>
      </c>
      <c r="F33" s="29"/>
      <c r="G33"/>
      <c r="H33" s="49"/>
      <c r="I33" s="49"/>
      <c r="J33" s="49"/>
      <c r="K33" s="49"/>
      <c r="L33" s="49"/>
      <c r="M33" s="49"/>
      <c r="P33" s="226"/>
      <c r="Q33" s="226"/>
      <c r="R33" s="226"/>
      <c r="S33" s="226"/>
      <c r="T33" s="226"/>
      <c r="U33" s="226"/>
    </row>
    <row r="34" spans="1:21" x14ac:dyDescent="0.25">
      <c r="A34" s="108"/>
      <c r="B34" s="27" t="s">
        <v>107</v>
      </c>
      <c r="C34" s="299">
        <f>G83+'озд. путевки по нозологиям'!$E$13</f>
        <v>1220</v>
      </c>
      <c r="D34" s="299">
        <f t="shared" si="3"/>
        <v>17080</v>
      </c>
      <c r="E34" s="150">
        <v>23734.190740156442</v>
      </c>
      <c r="F34" s="29"/>
      <c r="G34"/>
      <c r="H34" s="49"/>
      <c r="I34" s="49"/>
      <c r="J34" s="49"/>
      <c r="K34" s="49"/>
      <c r="L34" s="49"/>
      <c r="M34" s="49"/>
      <c r="P34" s="226"/>
      <c r="Q34" s="226"/>
      <c r="R34" s="226"/>
      <c r="S34" s="226"/>
      <c r="T34" s="226"/>
      <c r="U34" s="226"/>
    </row>
    <row r="35" spans="1:21" x14ac:dyDescent="0.25">
      <c r="A35" s="25">
        <v>5</v>
      </c>
      <c r="B35" s="25" t="s">
        <v>104</v>
      </c>
      <c r="C35" s="299">
        <f>G84+'озд. путевки по нозологиям'!$E$13</f>
        <v>640</v>
      </c>
      <c r="D35" s="299">
        <f t="shared" si="3"/>
        <v>8960</v>
      </c>
      <c r="E35" s="150">
        <v>13623.027716353774</v>
      </c>
      <c r="F35" s="29"/>
      <c r="G35"/>
      <c r="H35" s="49"/>
      <c r="I35" s="49"/>
      <c r="J35" s="49"/>
      <c r="K35" s="49"/>
      <c r="L35" s="49"/>
      <c r="M35" s="49"/>
      <c r="P35" s="226"/>
      <c r="Q35" s="226"/>
      <c r="R35" s="226"/>
      <c r="S35" s="226"/>
      <c r="T35" s="226"/>
      <c r="U35" s="226"/>
    </row>
    <row r="36" spans="1:21" x14ac:dyDescent="0.25">
      <c r="A36" s="1">
        <v>6</v>
      </c>
      <c r="B36" s="146" t="s">
        <v>108</v>
      </c>
      <c r="C36" s="299"/>
      <c r="D36" s="299"/>
      <c r="E36" s="151"/>
      <c r="F36" s="29"/>
      <c r="G36"/>
      <c r="H36" s="49"/>
      <c r="I36" s="49"/>
      <c r="J36" s="49"/>
      <c r="K36" s="49"/>
      <c r="L36" s="49"/>
      <c r="M36" s="49"/>
      <c r="P36" s="226"/>
      <c r="Q36" s="226"/>
      <c r="R36" s="226"/>
      <c r="S36" s="226"/>
      <c r="T36" s="226"/>
      <c r="U36" s="226"/>
    </row>
    <row r="37" spans="1:21" x14ac:dyDescent="0.25">
      <c r="A37" s="1"/>
      <c r="B37" s="96" t="s">
        <v>6</v>
      </c>
      <c r="C37" s="299">
        <f>G86+'озд. путевки по нозологиям'!$E$13</f>
        <v>1075</v>
      </c>
      <c r="D37" s="299">
        <f>C37*14</f>
        <v>15050</v>
      </c>
      <c r="E37" s="151">
        <v>18732.339994277332</v>
      </c>
      <c r="F37" s="29"/>
      <c r="G37"/>
      <c r="H37" s="49"/>
      <c r="I37" s="49"/>
      <c r="J37" s="49"/>
      <c r="K37" s="49"/>
      <c r="L37" s="49"/>
      <c r="M37" s="49"/>
      <c r="P37" s="226"/>
      <c r="Q37" s="226"/>
      <c r="R37" s="226"/>
      <c r="S37" s="226"/>
      <c r="T37" s="226"/>
      <c r="U37" s="226"/>
    </row>
    <row r="38" spans="1:21" hidden="1" x14ac:dyDescent="0.25">
      <c r="A38" s="1"/>
      <c r="B38" s="96" t="s">
        <v>7</v>
      </c>
      <c r="C38" s="299">
        <f>G87+'озд. путевки по нозологиям'!$E$13</f>
        <v>1005.0000000000001</v>
      </c>
      <c r="D38" s="299">
        <f>C38*14</f>
        <v>14070.000000000002</v>
      </c>
      <c r="E38" s="151">
        <v>17759.599999999999</v>
      </c>
      <c r="F38" s="29"/>
      <c r="G38"/>
      <c r="H38" s="49"/>
      <c r="I38" s="49"/>
      <c r="J38" s="49"/>
      <c r="K38" s="49"/>
      <c r="L38" s="49"/>
      <c r="M38" s="49"/>
      <c r="P38" s="226"/>
      <c r="Q38" s="226"/>
      <c r="R38" s="226"/>
      <c r="S38" s="226"/>
      <c r="T38" s="226"/>
      <c r="U38" s="226"/>
    </row>
    <row r="39" spans="1:21" x14ac:dyDescent="0.25">
      <c r="A39" s="1">
        <v>7</v>
      </c>
      <c r="B39" s="146" t="s">
        <v>109</v>
      </c>
      <c r="C39" s="299"/>
      <c r="D39" s="299"/>
      <c r="E39" s="151"/>
      <c r="F39" s="29"/>
      <c r="G39"/>
      <c r="H39" s="49"/>
      <c r="I39" s="49"/>
      <c r="J39" s="49"/>
      <c r="K39" s="49"/>
      <c r="L39" s="49"/>
      <c r="M39" s="49"/>
      <c r="P39" s="226"/>
      <c r="Q39" s="226"/>
      <c r="R39" s="226"/>
      <c r="S39" s="226"/>
      <c r="T39" s="226"/>
      <c r="U39" s="226"/>
    </row>
    <row r="40" spans="1:21" x14ac:dyDescent="0.25">
      <c r="A40" s="1"/>
      <c r="B40" s="96" t="s">
        <v>6</v>
      </c>
      <c r="C40" s="299">
        <f>G89+'озд. путевки по нозологиям'!$E$13</f>
        <v>1225</v>
      </c>
      <c r="D40" s="299">
        <f>C40*14</f>
        <v>17150</v>
      </c>
      <c r="E40" s="151">
        <v>20701.439994277331</v>
      </c>
      <c r="F40" s="29"/>
      <c r="G40"/>
      <c r="H40" s="49"/>
      <c r="I40" s="49"/>
      <c r="J40" s="49"/>
      <c r="K40" s="49"/>
      <c r="L40" s="49"/>
      <c r="M40" s="49"/>
      <c r="P40" s="226"/>
      <c r="Q40" s="226"/>
      <c r="R40" s="226"/>
      <c r="S40" s="226"/>
      <c r="T40" s="226"/>
      <c r="U40" s="226"/>
    </row>
    <row r="41" spans="1:21" hidden="1" x14ac:dyDescent="0.25">
      <c r="A41" s="1"/>
      <c r="B41" s="96" t="s">
        <v>7</v>
      </c>
      <c r="C41" s="299">
        <f>G90+'озд. путевки по нозологиям'!$E$13</f>
        <v>1155</v>
      </c>
      <c r="D41" s="299">
        <f>C41*14</f>
        <v>16170</v>
      </c>
      <c r="E41" s="151">
        <v>19728.699999999997</v>
      </c>
      <c r="F41" s="29"/>
      <c r="G41"/>
      <c r="H41" s="49"/>
      <c r="I41" s="49"/>
      <c r="J41" s="49"/>
      <c r="K41" s="49"/>
      <c r="L41" s="49"/>
      <c r="M41" s="49"/>
      <c r="P41" s="226"/>
      <c r="Q41" s="226"/>
      <c r="R41" s="226"/>
      <c r="S41" s="226"/>
      <c r="T41" s="226"/>
      <c r="U41" s="226"/>
    </row>
    <row r="42" spans="1:21" x14ac:dyDescent="0.25">
      <c r="A42" s="1">
        <v>8</v>
      </c>
      <c r="B42" s="146" t="s">
        <v>110</v>
      </c>
      <c r="C42" s="299"/>
      <c r="D42" s="299"/>
      <c r="E42" s="151"/>
      <c r="F42" s="29"/>
      <c r="G42"/>
      <c r="H42" s="49"/>
      <c r="I42" s="49"/>
      <c r="J42" s="49"/>
      <c r="K42" s="49"/>
      <c r="L42" s="49"/>
      <c r="M42" s="49"/>
      <c r="P42" s="226"/>
      <c r="Q42" s="226"/>
      <c r="R42" s="226"/>
      <c r="S42" s="226"/>
      <c r="T42" s="226"/>
      <c r="U42" s="226"/>
    </row>
    <row r="43" spans="1:21" x14ac:dyDescent="0.25">
      <c r="A43" s="1"/>
      <c r="B43" s="96" t="s">
        <v>6</v>
      </c>
      <c r="C43" s="299">
        <f>G92+'озд. путевки по нозологиям'!$E$13</f>
        <v>1325</v>
      </c>
      <c r="D43" s="299">
        <f>C43*14</f>
        <v>18550</v>
      </c>
      <c r="E43" s="151">
        <v>22073.139994277331</v>
      </c>
      <c r="F43" s="29"/>
      <c r="G43"/>
      <c r="H43" s="49"/>
      <c r="I43" s="49"/>
      <c r="J43" s="49"/>
      <c r="K43" s="49"/>
      <c r="L43" s="49"/>
      <c r="M43" s="49"/>
      <c r="P43" s="226"/>
      <c r="Q43" s="226"/>
      <c r="R43" s="226"/>
      <c r="S43" s="226"/>
      <c r="T43" s="226"/>
      <c r="U43" s="226"/>
    </row>
    <row r="44" spans="1:21" hidden="1" x14ac:dyDescent="0.25">
      <c r="A44" s="1"/>
      <c r="B44" s="96" t="s">
        <v>7</v>
      </c>
      <c r="C44" s="299">
        <f>G93+'озд. путевки по нозологиям'!$E$13</f>
        <v>1255</v>
      </c>
      <c r="D44" s="299">
        <f>C44*14</f>
        <v>17570</v>
      </c>
      <c r="E44" s="151">
        <v>21100.400000000001</v>
      </c>
      <c r="F44" s="29"/>
      <c r="G44"/>
      <c r="H44" s="49"/>
      <c r="I44" s="49"/>
      <c r="J44" s="49"/>
      <c r="K44" s="49"/>
      <c r="L44" s="49"/>
      <c r="M44" s="49"/>
      <c r="P44" s="226"/>
      <c r="Q44" s="226"/>
      <c r="R44" s="226"/>
      <c r="S44" s="226"/>
      <c r="T44" s="226"/>
      <c r="U44" s="226"/>
    </row>
    <row r="45" spans="1:21" x14ac:dyDescent="0.25">
      <c r="A45" s="1">
        <v>9</v>
      </c>
      <c r="B45" s="146" t="s">
        <v>111</v>
      </c>
      <c r="C45" s="299"/>
      <c r="D45" s="299"/>
      <c r="E45" s="151"/>
      <c r="F45" s="29"/>
      <c r="G45"/>
      <c r="H45" s="49"/>
      <c r="I45" s="49"/>
      <c r="J45" s="49"/>
      <c r="K45" s="49"/>
      <c r="L45" s="49"/>
      <c r="M45" s="49"/>
      <c r="P45" s="226"/>
      <c r="Q45" s="226"/>
      <c r="R45" s="226"/>
      <c r="S45" s="226"/>
      <c r="T45" s="226"/>
      <c r="U45" s="226"/>
    </row>
    <row r="46" spans="1:21" x14ac:dyDescent="0.25">
      <c r="A46" s="147"/>
      <c r="B46" s="96" t="s">
        <v>84</v>
      </c>
      <c r="C46" s="299">
        <f>G95+'озд. путевки по нозологиям'!$E$13</f>
        <v>755</v>
      </c>
      <c r="D46" s="299">
        <f>C46*14</f>
        <v>10570</v>
      </c>
      <c r="E46" s="151">
        <v>14459.843055117333</v>
      </c>
      <c r="F46" s="29"/>
      <c r="G46"/>
      <c r="H46" s="49"/>
      <c r="I46" s="49"/>
      <c r="J46" s="49"/>
      <c r="K46" s="49"/>
      <c r="L46" s="49"/>
      <c r="M46" s="49"/>
      <c r="P46" s="226"/>
      <c r="Q46" s="226"/>
      <c r="R46" s="226"/>
      <c r="S46" s="226"/>
      <c r="T46" s="226"/>
      <c r="U46" s="226"/>
    </row>
    <row r="47" spans="1:21" x14ac:dyDescent="0.25">
      <c r="A47" s="147"/>
      <c r="B47" s="96" t="s">
        <v>85</v>
      </c>
      <c r="C47" s="299">
        <f>G96+'озд. путевки по нозологиям'!$E$13</f>
        <v>905</v>
      </c>
      <c r="D47" s="299">
        <f t="shared" ref="D47:D48" si="4">C47*14</f>
        <v>12670</v>
      </c>
      <c r="E47" s="151">
        <v>16428.943055117328</v>
      </c>
      <c r="F47" s="29"/>
      <c r="G47"/>
      <c r="H47" s="49"/>
      <c r="I47" s="49"/>
      <c r="J47" s="49"/>
      <c r="K47" s="49"/>
      <c r="L47" s="49"/>
      <c r="M47" s="49"/>
      <c r="P47" s="226"/>
      <c r="Q47" s="226"/>
      <c r="R47" s="226"/>
      <c r="S47" s="226"/>
      <c r="T47" s="226"/>
      <c r="U47" s="226"/>
    </row>
    <row r="48" spans="1:21" x14ac:dyDescent="0.25">
      <c r="A48" s="147"/>
      <c r="B48" s="96" t="s">
        <v>107</v>
      </c>
      <c r="C48" s="299">
        <f>G97+'озд. путевки по нозологиям'!$E$13</f>
        <v>1005.0000000000001</v>
      </c>
      <c r="D48" s="299">
        <f t="shared" si="4"/>
        <v>14070.000000000002</v>
      </c>
      <c r="E48" s="151">
        <v>17800.643055117333</v>
      </c>
      <c r="F48" s="29"/>
      <c r="G48"/>
      <c r="H48" s="49"/>
      <c r="I48" s="49"/>
      <c r="J48" s="49"/>
      <c r="K48" s="49"/>
      <c r="L48" s="49"/>
      <c r="M48" s="49"/>
      <c r="P48" s="226"/>
      <c r="Q48" s="226"/>
      <c r="R48" s="226"/>
      <c r="S48" s="226"/>
      <c r="T48" s="226"/>
      <c r="U48" s="226"/>
    </row>
    <row r="49" spans="1:16" x14ac:dyDescent="0.25">
      <c r="A49" s="32"/>
      <c r="B49" s="32"/>
      <c r="C49" s="410"/>
      <c r="D49" s="410"/>
      <c r="E49" s="129"/>
      <c r="F49" s="129"/>
      <c r="G49" s="395"/>
      <c r="H49" s="395"/>
      <c r="I49" s="129"/>
      <c r="J49" s="129"/>
      <c r="K49" s="129"/>
      <c r="L49" s="117"/>
      <c r="M49" s="103"/>
    </row>
    <row r="50" spans="1:16" ht="27.75" customHeight="1" x14ac:dyDescent="0.25">
      <c r="A50" s="32"/>
      <c r="B50" s="415" t="s">
        <v>178</v>
      </c>
      <c r="C50" s="415"/>
      <c r="D50" s="415"/>
      <c r="E50" s="241"/>
      <c r="F50" s="241"/>
      <c r="G50" s="241"/>
      <c r="H50" s="241"/>
      <c r="I50" s="241"/>
      <c r="J50" s="241"/>
      <c r="K50" s="241"/>
      <c r="L50" s="117"/>
      <c r="M50" s="103"/>
    </row>
    <row r="51" spans="1:16" ht="45" customHeight="1" x14ac:dyDescent="0.25">
      <c r="A51" s="32"/>
      <c r="B51" s="416" t="s">
        <v>181</v>
      </c>
      <c r="C51" s="416"/>
      <c r="D51" s="416"/>
      <c r="E51" s="241"/>
      <c r="F51" s="241"/>
      <c r="G51" s="241"/>
      <c r="H51" s="241"/>
      <c r="I51" s="241"/>
      <c r="J51" s="241"/>
      <c r="K51" s="241"/>
      <c r="L51" s="117"/>
      <c r="M51" s="103"/>
    </row>
    <row r="52" spans="1:16" ht="45" customHeight="1" x14ac:dyDescent="0.25">
      <c r="A52" s="32"/>
      <c r="B52" s="416" t="s">
        <v>182</v>
      </c>
      <c r="C52" s="416"/>
      <c r="D52" s="416"/>
      <c r="E52" s="241"/>
      <c r="F52" s="241"/>
      <c r="G52" s="241"/>
      <c r="H52" s="241"/>
      <c r="I52" s="241"/>
      <c r="J52" s="241"/>
      <c r="K52" s="241"/>
      <c r="L52" s="117"/>
      <c r="M52" s="103"/>
    </row>
    <row r="53" spans="1:16" x14ac:dyDescent="0.25">
      <c r="A53" s="32"/>
      <c r="B53" s="32"/>
      <c r="C53" s="241"/>
      <c r="D53" s="241"/>
      <c r="E53" s="241"/>
      <c r="F53" s="241"/>
      <c r="G53" s="241"/>
      <c r="H53" s="241"/>
      <c r="I53" s="241"/>
      <c r="J53" s="241"/>
      <c r="K53" s="241"/>
      <c r="L53" s="117"/>
      <c r="M53" s="103"/>
    </row>
    <row r="54" spans="1:16" x14ac:dyDescent="0.25">
      <c r="A54" s="23"/>
      <c r="B54" s="152" t="s">
        <v>113</v>
      </c>
      <c r="C54" s="152"/>
      <c r="D54" s="154" t="s">
        <v>114</v>
      </c>
      <c r="E54" s="222"/>
      <c r="F54" s="11"/>
      <c r="G54" s="11"/>
      <c r="H54" s="11"/>
      <c r="I54" s="44"/>
      <c r="J54" s="44"/>
      <c r="K54" s="44"/>
      <c r="L54" s="45"/>
    </row>
    <row r="55" spans="1:16" x14ac:dyDescent="0.25">
      <c r="A55" s="18"/>
      <c r="B55" s="409"/>
      <c r="C55" s="409"/>
      <c r="D55" s="153"/>
      <c r="E55" s="14"/>
      <c r="F55" s="11"/>
      <c r="G55" s="11"/>
      <c r="H55" s="11"/>
      <c r="I55" s="46"/>
      <c r="J55" s="40"/>
      <c r="K55" s="40"/>
      <c r="L55" s="40"/>
    </row>
    <row r="56" spans="1:16" x14ac:dyDescent="0.25">
      <c r="A56" s="18"/>
      <c r="B56" s="409" t="s">
        <v>11</v>
      </c>
      <c r="C56" s="409"/>
      <c r="D56" s="154" t="s">
        <v>12</v>
      </c>
      <c r="E56" s="222"/>
      <c r="F56" s="11"/>
      <c r="G56" s="11"/>
      <c r="H56" s="11"/>
      <c r="I56" s="18"/>
      <c r="J56" s="11"/>
      <c r="K56" s="11"/>
      <c r="L56" s="11"/>
    </row>
    <row r="57" spans="1:16" x14ac:dyDescent="0.25">
      <c r="A57" s="18"/>
      <c r="B57" s="409"/>
      <c r="C57" s="409"/>
      <c r="D57" s="153"/>
      <c r="E57" s="14"/>
      <c r="F57" s="11"/>
      <c r="G57" s="11"/>
      <c r="H57" s="11"/>
      <c r="I57" s="18"/>
      <c r="J57" s="11"/>
      <c r="K57" s="11"/>
      <c r="L57" s="11"/>
    </row>
    <row r="58" spans="1:16" x14ac:dyDescent="0.25">
      <c r="A58" s="18"/>
      <c r="B58" s="409" t="s">
        <v>13</v>
      </c>
      <c r="C58" s="409"/>
      <c r="D58" s="153"/>
      <c r="E58" s="14"/>
      <c r="F58" s="11"/>
      <c r="G58" s="11"/>
      <c r="H58" s="11"/>
      <c r="I58" s="18"/>
      <c r="J58" s="11"/>
      <c r="K58" s="11"/>
      <c r="L58" s="11"/>
    </row>
    <row r="59" spans="1:16" x14ac:dyDescent="0.25">
      <c r="A59" s="18"/>
      <c r="B59" s="409"/>
      <c r="C59" s="409"/>
      <c r="D59" s="153"/>
      <c r="E59" s="14"/>
      <c r="F59" s="11"/>
      <c r="G59" s="11"/>
      <c r="H59" s="11"/>
      <c r="I59" s="18"/>
      <c r="J59" s="11"/>
      <c r="K59" s="11"/>
      <c r="L59" s="11"/>
    </row>
    <row r="60" spans="1:16" x14ac:dyDescent="0.25">
      <c r="A60" s="19"/>
      <c r="B60" s="409" t="s">
        <v>115</v>
      </c>
      <c r="C60" s="409"/>
      <c r="D60" s="154" t="s">
        <v>28</v>
      </c>
      <c r="E60" s="222"/>
      <c r="F60" s="11"/>
      <c r="G60" s="11"/>
      <c r="H60" s="11"/>
      <c r="I60" s="18"/>
      <c r="J60" s="11"/>
      <c r="K60" s="11"/>
      <c r="L60" s="11"/>
    </row>
    <row r="61" spans="1:16" x14ac:dyDescent="0.25">
      <c r="A61" s="20"/>
      <c r="M61" s="18"/>
      <c r="N61" s="11"/>
      <c r="O61" s="11"/>
      <c r="P61" s="11"/>
    </row>
    <row r="62" spans="1:16" x14ac:dyDescent="0.25">
      <c r="A62" s="21"/>
      <c r="B62" s="22"/>
      <c r="C62" s="21"/>
      <c r="D62" s="21"/>
      <c r="E62" s="225"/>
      <c r="F62" s="225"/>
      <c r="G62" s="225"/>
      <c r="H62" s="225"/>
      <c r="I62" s="21"/>
      <c r="J62" s="21"/>
      <c r="K62" s="21"/>
      <c r="L62" s="21"/>
      <c r="M62" s="18"/>
      <c r="N62" s="11"/>
      <c r="O62" s="11"/>
      <c r="P62" s="11"/>
    </row>
    <row r="64" spans="1:16" x14ac:dyDescent="0.25">
      <c r="B64" s="33"/>
      <c r="C64" s="34"/>
      <c r="D64" s="35" t="s">
        <v>87</v>
      </c>
      <c r="E64" s="249"/>
      <c r="F64" s="224" t="s">
        <v>88</v>
      </c>
      <c r="G64" s="224" t="s">
        <v>89</v>
      </c>
    </row>
    <row r="65" spans="2:13" x14ac:dyDescent="0.25">
      <c r="B65" s="33" t="s">
        <v>4</v>
      </c>
      <c r="C65" s="34"/>
      <c r="D65" s="35"/>
      <c r="E65" s="249"/>
    </row>
    <row r="66" spans="2:13" x14ac:dyDescent="0.25">
      <c r="B66" s="34" t="s">
        <v>5</v>
      </c>
      <c r="C66" s="140">
        <v>2020</v>
      </c>
      <c r="D66" s="145">
        <v>0.44554455445544555</v>
      </c>
      <c r="E66" s="249"/>
      <c r="F66" s="296">
        <f>C66*D66</f>
        <v>900</v>
      </c>
      <c r="G66" s="227">
        <f>C66-F66</f>
        <v>1120</v>
      </c>
      <c r="H66" s="227">
        <f>G66+$I$66</f>
        <v>1460</v>
      </c>
      <c r="I66" s="49">
        <f>'озд. путевки по нозологиям'!E13</f>
        <v>340</v>
      </c>
      <c r="J66" s="49">
        <f t="shared" ref="J66:J97" si="5">G66+$K$66</f>
        <v>1460</v>
      </c>
      <c r="K66" s="49">
        <f>'озд. путевки по нозологиям'!E23</f>
        <v>340</v>
      </c>
      <c r="L66" s="49">
        <f t="shared" ref="L66:L97" si="6">G66+$M$66</f>
        <v>1460</v>
      </c>
      <c r="M66" s="49">
        <f>'озд. путевки по нозологиям'!E32</f>
        <v>340</v>
      </c>
    </row>
    <row r="67" spans="2:13" x14ac:dyDescent="0.25">
      <c r="B67" s="34" t="s">
        <v>6</v>
      </c>
      <c r="C67" s="140">
        <v>1880</v>
      </c>
      <c r="D67" s="145">
        <v>0.47872340425531917</v>
      </c>
      <c r="E67" s="249"/>
      <c r="F67" s="296">
        <f t="shared" ref="F67:F97" si="7">C67*D67</f>
        <v>900</v>
      </c>
      <c r="G67" s="227">
        <f t="shared" ref="G67:G97" si="8">C67-F67</f>
        <v>980</v>
      </c>
      <c r="H67" s="227">
        <f t="shared" ref="H67:H97" si="9">G67+$I$66</f>
        <v>1320</v>
      </c>
      <c r="J67" s="49">
        <f t="shared" si="5"/>
        <v>1320</v>
      </c>
      <c r="L67">
        <f t="shared" si="6"/>
        <v>1320</v>
      </c>
    </row>
    <row r="68" spans="2:13" x14ac:dyDescent="0.25">
      <c r="B68" s="34" t="s">
        <v>7</v>
      </c>
      <c r="C68" s="140">
        <v>1780</v>
      </c>
      <c r="D68" s="145">
        <v>0.5056179775280899</v>
      </c>
      <c r="E68" s="249"/>
      <c r="F68" s="296">
        <f t="shared" si="7"/>
        <v>900</v>
      </c>
      <c r="G68" s="227">
        <f t="shared" si="8"/>
        <v>880</v>
      </c>
      <c r="H68" s="227">
        <f t="shared" si="9"/>
        <v>1220</v>
      </c>
      <c r="J68" s="49">
        <f t="shared" si="5"/>
        <v>1220</v>
      </c>
      <c r="L68">
        <f t="shared" si="6"/>
        <v>1220</v>
      </c>
    </row>
    <row r="69" spans="2:13" x14ac:dyDescent="0.25">
      <c r="B69" s="34" t="s">
        <v>8</v>
      </c>
      <c r="C69" s="140">
        <v>4020</v>
      </c>
      <c r="D69" s="145">
        <v>0.22388059701492538</v>
      </c>
      <c r="E69" s="249"/>
      <c r="F69" s="296">
        <f t="shared" si="7"/>
        <v>900</v>
      </c>
      <c r="G69" s="227">
        <f t="shared" si="8"/>
        <v>3120</v>
      </c>
      <c r="H69" s="227">
        <f t="shared" si="9"/>
        <v>3460</v>
      </c>
      <c r="J69" s="49">
        <f t="shared" si="5"/>
        <v>3460</v>
      </c>
      <c r="L69">
        <f t="shared" si="6"/>
        <v>3460</v>
      </c>
    </row>
    <row r="70" spans="2:13" x14ac:dyDescent="0.25">
      <c r="B70" s="33" t="s">
        <v>9</v>
      </c>
      <c r="C70" s="140"/>
      <c r="D70" s="145"/>
      <c r="E70" s="249"/>
      <c r="F70" s="296">
        <f t="shared" si="7"/>
        <v>0</v>
      </c>
      <c r="G70" s="227">
        <f t="shared" si="8"/>
        <v>0</v>
      </c>
      <c r="H70" s="227">
        <f t="shared" si="9"/>
        <v>340</v>
      </c>
      <c r="J70" s="49">
        <f t="shared" si="5"/>
        <v>340</v>
      </c>
      <c r="L70">
        <f t="shared" si="6"/>
        <v>340</v>
      </c>
    </row>
    <row r="71" spans="2:13" x14ac:dyDescent="0.25">
      <c r="B71" s="34" t="s">
        <v>5</v>
      </c>
      <c r="C71" s="140">
        <v>2220</v>
      </c>
      <c r="D71" s="145">
        <v>0.40540540540540543</v>
      </c>
      <c r="E71" s="249"/>
      <c r="F71" s="296">
        <f t="shared" si="7"/>
        <v>900</v>
      </c>
      <c r="G71" s="227">
        <f t="shared" si="8"/>
        <v>1320</v>
      </c>
      <c r="H71" s="227">
        <f t="shared" si="9"/>
        <v>1660</v>
      </c>
      <c r="J71" s="49">
        <f t="shared" si="5"/>
        <v>1660</v>
      </c>
      <c r="L71">
        <f t="shared" si="6"/>
        <v>1660</v>
      </c>
    </row>
    <row r="72" spans="2:13" x14ac:dyDescent="0.25">
      <c r="B72" s="34" t="s">
        <v>6</v>
      </c>
      <c r="C72" s="140">
        <v>2080</v>
      </c>
      <c r="D72" s="145">
        <v>0.43269230769230771</v>
      </c>
      <c r="E72" s="249"/>
      <c r="F72" s="296">
        <f t="shared" si="7"/>
        <v>900</v>
      </c>
      <c r="G72" s="227">
        <f t="shared" si="8"/>
        <v>1180</v>
      </c>
      <c r="H72" s="227">
        <f t="shared" si="9"/>
        <v>1520</v>
      </c>
      <c r="J72" s="49">
        <f t="shared" si="5"/>
        <v>1520</v>
      </c>
      <c r="L72">
        <f t="shared" si="6"/>
        <v>1520</v>
      </c>
    </row>
    <row r="73" spans="2:13" x14ac:dyDescent="0.25">
      <c r="B73" s="34" t="s">
        <v>7</v>
      </c>
      <c r="C73" s="140">
        <v>1980</v>
      </c>
      <c r="D73" s="145">
        <v>0.45454545454545453</v>
      </c>
      <c r="E73" s="249"/>
      <c r="F73" s="296">
        <f t="shared" si="7"/>
        <v>900</v>
      </c>
      <c r="G73" s="227">
        <f t="shared" si="8"/>
        <v>1080</v>
      </c>
      <c r="H73" s="227">
        <f t="shared" si="9"/>
        <v>1420</v>
      </c>
      <c r="J73" s="49">
        <f t="shared" si="5"/>
        <v>1420</v>
      </c>
      <c r="L73">
        <f t="shared" si="6"/>
        <v>1420</v>
      </c>
    </row>
    <row r="74" spans="2:13" x14ac:dyDescent="0.25">
      <c r="B74" s="34" t="s">
        <v>8</v>
      </c>
      <c r="C74" s="140">
        <v>4220</v>
      </c>
      <c r="D74" s="145">
        <v>0.2132701421800948</v>
      </c>
      <c r="E74" s="249"/>
      <c r="F74" s="296">
        <f t="shared" si="7"/>
        <v>900</v>
      </c>
      <c r="G74" s="227">
        <f t="shared" si="8"/>
        <v>3320</v>
      </c>
      <c r="H74" s="227">
        <f t="shared" si="9"/>
        <v>3660</v>
      </c>
      <c r="J74" s="49">
        <f t="shared" si="5"/>
        <v>3660</v>
      </c>
      <c r="L74">
        <f t="shared" si="6"/>
        <v>3660</v>
      </c>
    </row>
    <row r="75" spans="2:13" x14ac:dyDescent="0.25">
      <c r="B75" s="33" t="s">
        <v>10</v>
      </c>
      <c r="C75" s="140"/>
      <c r="D75" s="145"/>
      <c r="E75" s="249"/>
      <c r="F75" s="296">
        <f t="shared" si="7"/>
        <v>0</v>
      </c>
      <c r="G75" s="227">
        <f t="shared" si="8"/>
        <v>0</v>
      </c>
      <c r="H75" s="227">
        <f t="shared" si="9"/>
        <v>340</v>
      </c>
      <c r="J75" s="49">
        <f t="shared" si="5"/>
        <v>340</v>
      </c>
      <c r="L75">
        <f t="shared" si="6"/>
        <v>340</v>
      </c>
    </row>
    <row r="76" spans="2:13" x14ac:dyDescent="0.25">
      <c r="B76" s="34" t="s">
        <v>5</v>
      </c>
      <c r="C76" s="140">
        <v>2350</v>
      </c>
      <c r="D76" s="145">
        <v>0.38297872340425532</v>
      </c>
      <c r="E76" s="249"/>
      <c r="F76" s="296">
        <f t="shared" si="7"/>
        <v>900</v>
      </c>
      <c r="G76" s="227">
        <f t="shared" si="8"/>
        <v>1450</v>
      </c>
      <c r="H76" s="227">
        <f t="shared" si="9"/>
        <v>1790</v>
      </c>
      <c r="J76" s="49">
        <f t="shared" si="5"/>
        <v>1790</v>
      </c>
      <c r="L76">
        <f t="shared" si="6"/>
        <v>1790</v>
      </c>
    </row>
    <row r="77" spans="2:13" x14ac:dyDescent="0.25">
      <c r="B77" s="34" t="s">
        <v>6</v>
      </c>
      <c r="C77" s="140">
        <v>2210</v>
      </c>
      <c r="D77" s="145">
        <v>0.40723981900452488</v>
      </c>
      <c r="E77" s="249"/>
      <c r="F77" s="296">
        <f t="shared" si="7"/>
        <v>900</v>
      </c>
      <c r="G77" s="227">
        <f t="shared" si="8"/>
        <v>1310</v>
      </c>
      <c r="H77" s="227">
        <f t="shared" si="9"/>
        <v>1650</v>
      </c>
      <c r="J77" s="49">
        <f t="shared" si="5"/>
        <v>1650</v>
      </c>
      <c r="L77">
        <f t="shared" si="6"/>
        <v>1650</v>
      </c>
    </row>
    <row r="78" spans="2:13" x14ac:dyDescent="0.25">
      <c r="B78" s="34" t="s">
        <v>7</v>
      </c>
      <c r="C78" s="140">
        <v>2110</v>
      </c>
      <c r="D78" s="145">
        <v>0.42654028436018959</v>
      </c>
      <c r="E78" s="249"/>
      <c r="F78" s="296">
        <f t="shared" si="7"/>
        <v>900</v>
      </c>
      <c r="G78" s="227">
        <f t="shared" si="8"/>
        <v>1210</v>
      </c>
      <c r="H78" s="227">
        <f t="shared" si="9"/>
        <v>1550</v>
      </c>
      <c r="J78" s="49">
        <f t="shared" si="5"/>
        <v>1550</v>
      </c>
      <c r="L78">
        <f t="shared" si="6"/>
        <v>1550</v>
      </c>
    </row>
    <row r="79" spans="2:13" x14ac:dyDescent="0.25">
      <c r="B79" s="34" t="s">
        <v>8</v>
      </c>
      <c r="C79" s="140">
        <v>4350</v>
      </c>
      <c r="D79" s="145">
        <v>0.20689655172413793</v>
      </c>
      <c r="E79" s="249"/>
      <c r="F79" s="296">
        <f t="shared" si="7"/>
        <v>900</v>
      </c>
      <c r="G79" s="227">
        <f t="shared" si="8"/>
        <v>3450</v>
      </c>
      <c r="H79" s="227">
        <f t="shared" si="9"/>
        <v>3790</v>
      </c>
      <c r="J79" s="49">
        <f t="shared" si="5"/>
        <v>3790</v>
      </c>
      <c r="L79">
        <f t="shared" si="6"/>
        <v>3790</v>
      </c>
    </row>
    <row r="80" spans="2:13" x14ac:dyDescent="0.25">
      <c r="B80" s="297" t="s">
        <v>83</v>
      </c>
      <c r="C80" s="298"/>
      <c r="D80" s="139"/>
      <c r="F80" s="296">
        <f t="shared" si="7"/>
        <v>0</v>
      </c>
      <c r="G80" s="227">
        <f t="shared" si="8"/>
        <v>0</v>
      </c>
      <c r="H80" s="227">
        <f t="shared" si="9"/>
        <v>340</v>
      </c>
      <c r="J80" s="49">
        <f t="shared" si="5"/>
        <v>340</v>
      </c>
      <c r="L80">
        <f t="shared" si="6"/>
        <v>340</v>
      </c>
    </row>
    <row r="81" spans="2:12" x14ac:dyDescent="0.25">
      <c r="B81" s="2" t="s">
        <v>84</v>
      </c>
      <c r="C81" s="141">
        <v>1450</v>
      </c>
      <c r="D81" s="139">
        <v>0.62068965517241381</v>
      </c>
      <c r="F81" s="296">
        <f t="shared" si="7"/>
        <v>900</v>
      </c>
      <c r="G81" s="227">
        <f t="shared" si="8"/>
        <v>550</v>
      </c>
      <c r="H81" s="227">
        <f t="shared" si="9"/>
        <v>890</v>
      </c>
      <c r="J81" s="49">
        <f t="shared" si="5"/>
        <v>890</v>
      </c>
      <c r="L81">
        <f t="shared" si="6"/>
        <v>890</v>
      </c>
    </row>
    <row r="82" spans="2:12" x14ac:dyDescent="0.25">
      <c r="B82" s="2" t="s">
        <v>85</v>
      </c>
      <c r="C82" s="141">
        <v>1650</v>
      </c>
      <c r="D82" s="139">
        <v>0.54545454545454541</v>
      </c>
      <c r="F82" s="296">
        <f t="shared" si="7"/>
        <v>899.99999999999989</v>
      </c>
      <c r="G82" s="227">
        <f t="shared" si="8"/>
        <v>750.00000000000011</v>
      </c>
      <c r="H82" s="227">
        <f t="shared" si="9"/>
        <v>1090</v>
      </c>
      <c r="J82" s="49">
        <f t="shared" si="5"/>
        <v>1090</v>
      </c>
      <c r="L82">
        <f t="shared" si="6"/>
        <v>1090</v>
      </c>
    </row>
    <row r="83" spans="2:12" x14ac:dyDescent="0.25">
      <c r="B83" s="2" t="s">
        <v>107</v>
      </c>
      <c r="C83" s="141">
        <v>1780</v>
      </c>
      <c r="D83" s="139">
        <v>0.5056179775280899</v>
      </c>
      <c r="F83" s="296">
        <f t="shared" si="7"/>
        <v>900</v>
      </c>
      <c r="G83" s="227">
        <f t="shared" si="8"/>
        <v>880</v>
      </c>
      <c r="H83" s="227">
        <f t="shared" si="9"/>
        <v>1220</v>
      </c>
      <c r="J83" s="49">
        <f t="shared" si="5"/>
        <v>1220</v>
      </c>
      <c r="L83">
        <f t="shared" si="6"/>
        <v>1220</v>
      </c>
    </row>
    <row r="84" spans="2:12" x14ac:dyDescent="0.25">
      <c r="B84" s="142" t="s">
        <v>104</v>
      </c>
      <c r="C84" s="141">
        <v>1200</v>
      </c>
      <c r="D84" s="139">
        <v>0.75</v>
      </c>
      <c r="F84" s="296">
        <f t="shared" si="7"/>
        <v>900</v>
      </c>
      <c r="G84" s="227">
        <f t="shared" si="8"/>
        <v>300</v>
      </c>
      <c r="H84" s="227">
        <f t="shared" si="9"/>
        <v>640</v>
      </c>
      <c r="J84" s="49">
        <f t="shared" si="5"/>
        <v>640</v>
      </c>
      <c r="L84">
        <f t="shared" si="6"/>
        <v>640</v>
      </c>
    </row>
    <row r="85" spans="2:12" x14ac:dyDescent="0.25">
      <c r="B85" s="143" t="s">
        <v>108</v>
      </c>
      <c r="D85" s="139"/>
      <c r="F85" s="296">
        <f t="shared" si="7"/>
        <v>0</v>
      </c>
      <c r="G85" s="227">
        <f t="shared" si="8"/>
        <v>0</v>
      </c>
      <c r="H85" s="227">
        <f t="shared" si="9"/>
        <v>340</v>
      </c>
      <c r="J85" s="49">
        <f t="shared" si="5"/>
        <v>340</v>
      </c>
      <c r="L85">
        <f t="shared" si="6"/>
        <v>340</v>
      </c>
    </row>
    <row r="86" spans="2:12" x14ac:dyDescent="0.25">
      <c r="B86" s="144" t="s">
        <v>6</v>
      </c>
      <c r="C86" s="141">
        <v>1410</v>
      </c>
      <c r="D86" s="139">
        <v>0.47872340425531917</v>
      </c>
      <c r="F86" s="296">
        <f t="shared" si="7"/>
        <v>675</v>
      </c>
      <c r="G86" s="227">
        <f t="shared" si="8"/>
        <v>735</v>
      </c>
      <c r="H86" s="227">
        <f t="shared" si="9"/>
        <v>1075</v>
      </c>
      <c r="J86" s="49">
        <f t="shared" si="5"/>
        <v>1075</v>
      </c>
      <c r="L86">
        <f t="shared" si="6"/>
        <v>1075</v>
      </c>
    </row>
    <row r="87" spans="2:12" x14ac:dyDescent="0.25">
      <c r="B87" s="144" t="s">
        <v>7</v>
      </c>
      <c r="C87" s="141">
        <v>1340</v>
      </c>
      <c r="D87" s="139">
        <v>0.50373134328358204</v>
      </c>
      <c r="F87" s="296">
        <f t="shared" si="7"/>
        <v>674.99999999999989</v>
      </c>
      <c r="G87" s="227">
        <f t="shared" si="8"/>
        <v>665.00000000000011</v>
      </c>
      <c r="H87" s="227">
        <f t="shared" si="9"/>
        <v>1005.0000000000001</v>
      </c>
      <c r="J87" s="49">
        <f t="shared" si="5"/>
        <v>1005.0000000000001</v>
      </c>
      <c r="L87">
        <f t="shared" si="6"/>
        <v>1005.0000000000001</v>
      </c>
    </row>
    <row r="88" spans="2:12" x14ac:dyDescent="0.25">
      <c r="B88" s="143" t="s">
        <v>109</v>
      </c>
      <c r="C88" s="141"/>
      <c r="D88" s="139"/>
      <c r="F88" s="296">
        <f t="shared" si="7"/>
        <v>0</v>
      </c>
      <c r="G88" s="227">
        <f t="shared" si="8"/>
        <v>0</v>
      </c>
      <c r="H88" s="227">
        <f t="shared" si="9"/>
        <v>340</v>
      </c>
      <c r="J88" s="49">
        <f t="shared" si="5"/>
        <v>340</v>
      </c>
      <c r="L88">
        <f t="shared" si="6"/>
        <v>340</v>
      </c>
    </row>
    <row r="89" spans="2:12" x14ac:dyDescent="0.25">
      <c r="B89" s="144" t="s">
        <v>6</v>
      </c>
      <c r="C89" s="141">
        <v>1560</v>
      </c>
      <c r="D89" s="139">
        <v>0.43269230769230771</v>
      </c>
      <c r="F89" s="296">
        <f t="shared" si="7"/>
        <v>675</v>
      </c>
      <c r="G89" s="227">
        <f t="shared" si="8"/>
        <v>885</v>
      </c>
      <c r="H89" s="227">
        <f t="shared" si="9"/>
        <v>1225</v>
      </c>
      <c r="J89" s="49">
        <f t="shared" si="5"/>
        <v>1225</v>
      </c>
      <c r="L89">
        <f t="shared" si="6"/>
        <v>1225</v>
      </c>
    </row>
    <row r="90" spans="2:12" x14ac:dyDescent="0.25">
      <c r="B90" s="144" t="s">
        <v>7</v>
      </c>
      <c r="C90" s="141">
        <v>1490</v>
      </c>
      <c r="D90" s="139">
        <v>0.45302013422818793</v>
      </c>
      <c r="F90" s="296">
        <f t="shared" si="7"/>
        <v>675</v>
      </c>
      <c r="G90" s="227">
        <f t="shared" si="8"/>
        <v>815</v>
      </c>
      <c r="H90" s="227">
        <f t="shared" si="9"/>
        <v>1155</v>
      </c>
      <c r="J90" s="49">
        <f t="shared" si="5"/>
        <v>1155</v>
      </c>
      <c r="L90">
        <f t="shared" si="6"/>
        <v>1155</v>
      </c>
    </row>
    <row r="91" spans="2:12" x14ac:dyDescent="0.25">
      <c r="B91" s="143" t="s">
        <v>110</v>
      </c>
      <c r="C91" s="141"/>
      <c r="D91" s="139"/>
      <c r="F91" s="296">
        <f t="shared" si="7"/>
        <v>0</v>
      </c>
      <c r="G91" s="227">
        <f t="shared" si="8"/>
        <v>0</v>
      </c>
      <c r="H91" s="227">
        <f t="shared" si="9"/>
        <v>340</v>
      </c>
      <c r="J91" s="49">
        <f t="shared" si="5"/>
        <v>340</v>
      </c>
      <c r="L91">
        <f t="shared" si="6"/>
        <v>340</v>
      </c>
    </row>
    <row r="92" spans="2:12" x14ac:dyDescent="0.25">
      <c r="B92" s="144" t="s">
        <v>6</v>
      </c>
      <c r="C92" s="141">
        <v>1660</v>
      </c>
      <c r="D92" s="139">
        <v>0.40662650602409639</v>
      </c>
      <c r="F92" s="296">
        <f t="shared" si="7"/>
        <v>675</v>
      </c>
      <c r="G92" s="227">
        <f t="shared" si="8"/>
        <v>985</v>
      </c>
      <c r="H92" s="227">
        <f t="shared" si="9"/>
        <v>1325</v>
      </c>
      <c r="J92" s="49">
        <f t="shared" si="5"/>
        <v>1325</v>
      </c>
      <c r="L92">
        <f t="shared" si="6"/>
        <v>1325</v>
      </c>
    </row>
    <row r="93" spans="2:12" x14ac:dyDescent="0.25">
      <c r="B93" s="144" t="s">
        <v>7</v>
      </c>
      <c r="C93" s="141">
        <v>1590</v>
      </c>
      <c r="D93" s="139">
        <v>0.42452830188679247</v>
      </c>
      <c r="F93" s="296">
        <f t="shared" si="7"/>
        <v>675</v>
      </c>
      <c r="G93" s="227">
        <f t="shared" si="8"/>
        <v>915</v>
      </c>
      <c r="H93" s="227">
        <f t="shared" si="9"/>
        <v>1255</v>
      </c>
      <c r="J93" s="49">
        <f t="shared" si="5"/>
        <v>1255</v>
      </c>
      <c r="L93">
        <f t="shared" si="6"/>
        <v>1255</v>
      </c>
    </row>
    <row r="94" spans="2:12" x14ac:dyDescent="0.25">
      <c r="B94" s="143" t="s">
        <v>111</v>
      </c>
      <c r="C94" s="141"/>
      <c r="D94" s="139"/>
      <c r="F94" s="296">
        <f t="shared" si="7"/>
        <v>0</v>
      </c>
      <c r="G94" s="227">
        <f t="shared" si="8"/>
        <v>0</v>
      </c>
      <c r="H94" s="227">
        <f t="shared" si="9"/>
        <v>340</v>
      </c>
      <c r="J94" s="49">
        <f t="shared" si="5"/>
        <v>340</v>
      </c>
      <c r="L94">
        <f t="shared" si="6"/>
        <v>340</v>
      </c>
    </row>
    <row r="95" spans="2:12" x14ac:dyDescent="0.25">
      <c r="B95" s="144" t="s">
        <v>84</v>
      </c>
      <c r="C95" s="141">
        <v>1090</v>
      </c>
      <c r="D95" s="139">
        <v>0.61926605504587151</v>
      </c>
      <c r="F95" s="296">
        <f t="shared" si="7"/>
        <v>675</v>
      </c>
      <c r="G95" s="227">
        <f t="shared" si="8"/>
        <v>415</v>
      </c>
      <c r="H95" s="227">
        <f t="shared" si="9"/>
        <v>755</v>
      </c>
      <c r="J95" s="49">
        <f t="shared" si="5"/>
        <v>755</v>
      </c>
      <c r="L95">
        <f t="shared" si="6"/>
        <v>755</v>
      </c>
    </row>
    <row r="96" spans="2:12" x14ac:dyDescent="0.25">
      <c r="B96" s="144" t="s">
        <v>85</v>
      </c>
      <c r="C96" s="141">
        <v>1240</v>
      </c>
      <c r="D96" s="139">
        <v>0.54435483870967738</v>
      </c>
      <c r="F96" s="296">
        <f t="shared" si="7"/>
        <v>675</v>
      </c>
      <c r="G96" s="227">
        <f t="shared" si="8"/>
        <v>565</v>
      </c>
      <c r="H96" s="227">
        <f t="shared" si="9"/>
        <v>905</v>
      </c>
      <c r="J96" s="49">
        <f t="shared" si="5"/>
        <v>905</v>
      </c>
      <c r="L96">
        <f t="shared" si="6"/>
        <v>905</v>
      </c>
    </row>
    <row r="97" spans="2:12" x14ac:dyDescent="0.25">
      <c r="B97" s="144" t="s">
        <v>107</v>
      </c>
      <c r="C97" s="141">
        <v>1340</v>
      </c>
      <c r="D97" s="139">
        <v>0.50373134328358204</v>
      </c>
      <c r="F97" s="296">
        <f t="shared" si="7"/>
        <v>674.99999999999989</v>
      </c>
      <c r="G97" s="227">
        <f t="shared" si="8"/>
        <v>665.00000000000011</v>
      </c>
      <c r="H97" s="227">
        <f t="shared" si="9"/>
        <v>1005.0000000000001</v>
      </c>
      <c r="J97" s="49">
        <f t="shared" si="5"/>
        <v>1005.0000000000001</v>
      </c>
      <c r="L97">
        <f t="shared" si="6"/>
        <v>1005.0000000000001</v>
      </c>
    </row>
  </sheetData>
  <mergeCells count="21">
    <mergeCell ref="B60:C60"/>
    <mergeCell ref="B55:C55"/>
    <mergeCell ref="G49:H49"/>
    <mergeCell ref="B56:C56"/>
    <mergeCell ref="B57:C57"/>
    <mergeCell ref="B58:C58"/>
    <mergeCell ref="B59:C59"/>
    <mergeCell ref="A12:A15"/>
    <mergeCell ref="B12:B15"/>
    <mergeCell ref="B50:D50"/>
    <mergeCell ref="B51:D51"/>
    <mergeCell ref="B52:D52"/>
    <mergeCell ref="C49:D49"/>
    <mergeCell ref="C12:D12"/>
    <mergeCell ref="C13:D13"/>
    <mergeCell ref="C14:D14"/>
    <mergeCell ref="A7:D7"/>
    <mergeCell ref="A8:D8"/>
    <mergeCell ref="A9:D9"/>
    <mergeCell ref="A10:D10"/>
    <mergeCell ref="A11:D11"/>
  </mergeCells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11</vt:i4>
      </vt:variant>
    </vt:vector>
  </HeadingPairs>
  <TitlesOfParts>
    <vt:vector size="25" baseType="lpstr">
      <vt:lpstr>сторонние</vt:lpstr>
      <vt:lpstr>Дамский заезд 2</vt:lpstr>
      <vt:lpstr>Лист2</vt:lpstr>
      <vt:lpstr>пол ст-ть ЛПК 2</vt:lpstr>
      <vt:lpstr>ст-ть ЛПК 2</vt:lpstr>
      <vt:lpstr>сторонние 2</vt:lpstr>
      <vt:lpstr>озд. путевки по нозологиям</vt:lpstr>
      <vt:lpstr>преск сторонние по нозологиям %</vt:lpstr>
      <vt:lpstr>прейс стор по нозологиям</vt:lpstr>
      <vt:lpstr>оздоровительные программы 2018</vt:lpstr>
      <vt:lpstr>прейс озд. прог.2018 Монди полн</vt:lpstr>
      <vt:lpstr>прейс озд прог.Монди 0,2</vt:lpstr>
      <vt:lpstr>% леч Монди</vt:lpstr>
      <vt:lpstr>оздоровительная программа ножки</vt:lpstr>
      <vt:lpstr>'% леч Монди'!Область_печати</vt:lpstr>
      <vt:lpstr>'Дамский заезд 2'!Область_печати</vt:lpstr>
      <vt:lpstr>'оздоровительные программы 2018'!Область_печати</vt:lpstr>
      <vt:lpstr>'пол ст-ть ЛПК 2'!Область_печати</vt:lpstr>
      <vt:lpstr>'прейс озд прог.Монди 0,2'!Область_печати</vt:lpstr>
      <vt:lpstr>'прейс озд. прог.2018 Монди полн'!Область_печати</vt:lpstr>
      <vt:lpstr>'прейс стор по нозологиям'!Область_печати</vt:lpstr>
      <vt:lpstr>'преск сторонние по нозологиям %'!Область_печати</vt:lpstr>
      <vt:lpstr>сторонние!Область_печати</vt:lpstr>
      <vt:lpstr>'сторонние 2'!Область_печати</vt:lpstr>
      <vt:lpstr>'ст-ть ЛПК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2020-12-02T14:07:28Z</dcterms:modified>
</cp:coreProperties>
</file>