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tabRatio="933"/>
  </bookViews>
  <sheets>
    <sheet name="Спа " sheetId="5" r:id="rId1"/>
    <sheet name="Дамский заезд 2" sheetId="6" state="hidden" r:id="rId2"/>
    <sheet name="Лист2" sheetId="7" state="hidden" r:id="rId3"/>
    <sheet name="пол ст-ть ЛПК 2" sheetId="8" state="hidden" r:id="rId4"/>
    <sheet name="ст-ть ЛПК 2" sheetId="9" state="hidden" r:id="rId5"/>
    <sheet name="сторонние 2" sheetId="10" state="hidden" r:id="rId6"/>
  </sheets>
  <definedNames>
    <definedName name="_xlnm.Print_Area" localSheetId="1">'Дамский заезд 2'!$A$1:$E$90</definedName>
    <definedName name="_xlnm.Print_Area" localSheetId="3">'пол ст-ть ЛПК 2'!$A$1:$P$64</definedName>
    <definedName name="_xlnm.Print_Area" localSheetId="0">'Спа '!$A$1:$H$31</definedName>
    <definedName name="_xlnm.Print_Area" localSheetId="5">'сторонние 2'!$A$1:$Q$66</definedName>
    <definedName name="_xlnm.Print_Area" localSheetId="4">'ст-ть ЛПК 2'!$A$1:$Q$60</definedName>
  </definedNames>
  <calcPr calcId="145621"/>
</workbook>
</file>

<file path=xl/calcChain.xml><?xml version="1.0" encoding="utf-8"?>
<calcChain xmlns="http://schemas.openxmlformats.org/spreadsheetml/2006/main">
  <c r="C15" i="6" l="1"/>
  <c r="F51" i="10" l="1"/>
  <c r="F56" i="10"/>
  <c r="F61" i="10"/>
  <c r="E48" i="10"/>
  <c r="F48" i="10" s="1"/>
  <c r="Q16" i="10" s="1"/>
  <c r="E49" i="10"/>
  <c r="F49" i="10" s="1"/>
  <c r="Q17" i="10" s="1"/>
  <c r="E50" i="10"/>
  <c r="F50" i="10" s="1"/>
  <c r="Q18" i="10" s="1"/>
  <c r="E52" i="10"/>
  <c r="F52" i="10" s="1"/>
  <c r="Q20" i="10" s="1"/>
  <c r="E53" i="10"/>
  <c r="F53" i="10" s="1"/>
  <c r="Q21" i="10" s="1"/>
  <c r="E54" i="10"/>
  <c r="F54" i="10" s="1"/>
  <c r="Q22" i="10" s="1"/>
  <c r="E55" i="10"/>
  <c r="F55" i="10" s="1"/>
  <c r="Q23" i="10" s="1"/>
  <c r="E57" i="10"/>
  <c r="F57" i="10" s="1"/>
  <c r="Q25" i="10" s="1"/>
  <c r="E58" i="10"/>
  <c r="F58" i="10" s="1"/>
  <c r="Q26" i="10" s="1"/>
  <c r="E59" i="10"/>
  <c r="F59" i="10" s="1"/>
  <c r="Q27" i="10" s="1"/>
  <c r="E60" i="10"/>
  <c r="F60" i="10" s="1"/>
  <c r="Q28" i="10" s="1"/>
  <c r="E62" i="10"/>
  <c r="F62" i="10" s="1"/>
  <c r="C30" i="10" s="1"/>
  <c r="E63" i="10"/>
  <c r="F63" i="10" s="1"/>
  <c r="C31" i="10" s="1"/>
  <c r="E47" i="10"/>
  <c r="F47" i="10" s="1"/>
  <c r="Q15" i="10" s="1"/>
  <c r="E62" i="8"/>
  <c r="F62" i="8" s="1"/>
  <c r="P31" i="8" s="1"/>
  <c r="Q31" i="9" s="1"/>
  <c r="E63" i="8"/>
  <c r="F63" i="8" s="1"/>
  <c r="P32" i="8" s="1"/>
  <c r="Q32" i="9" s="1"/>
  <c r="E61" i="8"/>
  <c r="F61" i="8" s="1"/>
  <c r="P30" i="8" s="1"/>
  <c r="Q30" i="9" s="1"/>
  <c r="E30" i="10" l="1"/>
  <c r="E31" i="10"/>
  <c r="G30" i="10"/>
  <c r="G31" i="10"/>
  <c r="I30" i="10"/>
  <c r="I31" i="10"/>
  <c r="K30" i="10"/>
  <c r="K31" i="10"/>
  <c r="M30" i="10"/>
  <c r="M31" i="10"/>
  <c r="O30" i="10"/>
  <c r="O31" i="10"/>
  <c r="P30" i="10"/>
  <c r="P31" i="10"/>
  <c r="Q30" i="10"/>
  <c r="Q31" i="10"/>
  <c r="P15" i="10"/>
  <c r="O15" i="10"/>
  <c r="M15" i="10"/>
  <c r="K15" i="10"/>
  <c r="I15" i="10"/>
  <c r="G15" i="10"/>
  <c r="E15" i="10"/>
  <c r="C15" i="10"/>
  <c r="P28" i="10"/>
  <c r="O28" i="10"/>
  <c r="M28" i="10"/>
  <c r="K28" i="10"/>
  <c r="I28" i="10"/>
  <c r="G28" i="10"/>
  <c r="E28" i="10"/>
  <c r="C28" i="10"/>
  <c r="P27" i="10"/>
  <c r="O27" i="10"/>
  <c r="M27" i="10"/>
  <c r="K27" i="10"/>
  <c r="I27" i="10"/>
  <c r="G27" i="10"/>
  <c r="E27" i="10"/>
  <c r="C27" i="10"/>
  <c r="P26" i="10"/>
  <c r="O26" i="10"/>
  <c r="M26" i="10"/>
  <c r="K26" i="10"/>
  <c r="I26" i="10"/>
  <c r="G26" i="10"/>
  <c r="E26" i="10"/>
  <c r="C26" i="10"/>
  <c r="P25" i="10"/>
  <c r="O25" i="10"/>
  <c r="M25" i="10"/>
  <c r="K25" i="10"/>
  <c r="I25" i="10"/>
  <c r="G25" i="10"/>
  <c r="E25" i="10"/>
  <c r="C25" i="10"/>
  <c r="P23" i="10"/>
  <c r="O23" i="10"/>
  <c r="M23" i="10"/>
  <c r="K23" i="10"/>
  <c r="I23" i="10"/>
  <c r="G23" i="10"/>
  <c r="E23" i="10"/>
  <c r="C23" i="10"/>
  <c r="P22" i="10"/>
  <c r="O22" i="10"/>
  <c r="M22" i="10"/>
  <c r="K22" i="10"/>
  <c r="I22" i="10"/>
  <c r="G22" i="10"/>
  <c r="E22" i="10"/>
  <c r="C22" i="10"/>
  <c r="P21" i="10"/>
  <c r="O21" i="10"/>
  <c r="M21" i="10"/>
  <c r="K21" i="10"/>
  <c r="I21" i="10"/>
  <c r="G21" i="10"/>
  <c r="E21" i="10"/>
  <c r="C21" i="10"/>
  <c r="P20" i="10"/>
  <c r="O20" i="10"/>
  <c r="M20" i="10"/>
  <c r="K20" i="10"/>
  <c r="I20" i="10"/>
  <c r="G20" i="10"/>
  <c r="E20" i="10"/>
  <c r="C20" i="10"/>
  <c r="P18" i="10"/>
  <c r="O18" i="10"/>
  <c r="M18" i="10"/>
  <c r="K18" i="10"/>
  <c r="I18" i="10"/>
  <c r="G18" i="10"/>
  <c r="E18" i="10"/>
  <c r="C18" i="10"/>
  <c r="P17" i="10"/>
  <c r="O17" i="10"/>
  <c r="M17" i="10"/>
  <c r="K17" i="10"/>
  <c r="I17" i="10"/>
  <c r="G17" i="10"/>
  <c r="E17" i="10"/>
  <c r="C17" i="10"/>
  <c r="P16" i="10"/>
  <c r="O16" i="10"/>
  <c r="M16" i="10"/>
  <c r="K16" i="10"/>
  <c r="I16" i="10"/>
  <c r="G16" i="10"/>
  <c r="E16" i="10"/>
  <c r="C16" i="10"/>
  <c r="O30" i="8"/>
  <c r="P30" i="9" s="1"/>
  <c r="M30" i="8"/>
  <c r="M30" i="9" s="1"/>
  <c r="K30" i="8"/>
  <c r="K30" i="9" s="1"/>
  <c r="I30" i="8"/>
  <c r="G30" i="8"/>
  <c r="E30" i="8"/>
  <c r="C30" i="8"/>
  <c r="O32" i="8"/>
  <c r="P32" i="9" s="1"/>
  <c r="M32" i="8"/>
  <c r="M32" i="9" s="1"/>
  <c r="K32" i="8"/>
  <c r="K32" i="9" s="1"/>
  <c r="I32" i="8"/>
  <c r="G32" i="8"/>
  <c r="E32" i="8"/>
  <c r="C32" i="8"/>
  <c r="O31" i="8"/>
  <c r="P31" i="9" s="1"/>
  <c r="M31" i="8"/>
  <c r="M31" i="9" s="1"/>
  <c r="K31" i="8"/>
  <c r="K31" i="9" s="1"/>
  <c r="I31" i="8"/>
  <c r="G31" i="8"/>
  <c r="E31" i="8"/>
  <c r="C31" i="8"/>
  <c r="C31" i="9" l="1"/>
  <c r="C32" i="9"/>
  <c r="C30" i="9"/>
  <c r="E31" i="9"/>
  <c r="E32" i="9"/>
  <c r="E30" i="9"/>
  <c r="G31" i="9"/>
  <c r="I31" i="9"/>
  <c r="O31" i="9"/>
  <c r="G32" i="9"/>
  <c r="I32" i="9"/>
  <c r="O32" i="9"/>
  <c r="G30" i="9"/>
  <c r="I30" i="9"/>
  <c r="O30" i="9"/>
  <c r="C84" i="6"/>
  <c r="C83" i="6"/>
  <c r="C82" i="6"/>
  <c r="C81" i="6"/>
  <c r="C73" i="6"/>
  <c r="C72" i="6"/>
  <c r="C64" i="6"/>
  <c r="C63" i="6"/>
  <c r="C55" i="6"/>
  <c r="C54" i="6"/>
  <c r="C53" i="6"/>
  <c r="C45" i="6"/>
  <c r="C44" i="6"/>
  <c r="C36" i="6"/>
  <c r="C35" i="6"/>
  <c r="C27" i="6"/>
  <c r="C26" i="6"/>
  <c r="C25" i="6"/>
  <c r="C17" i="6"/>
  <c r="C16" i="6"/>
  <c r="C7" i="6"/>
  <c r="C6" i="6"/>
  <c r="C5" i="6"/>
  <c r="D47" i="9" l="1"/>
  <c r="E59" i="8" l="1"/>
  <c r="F59" i="8" s="1"/>
  <c r="P28" i="8" s="1"/>
  <c r="E58" i="8"/>
  <c r="F58" i="8" s="1"/>
  <c r="P27" i="8" s="1"/>
  <c r="Q27" i="9" s="1"/>
  <c r="E57" i="8"/>
  <c r="F57" i="8" s="1"/>
  <c r="P26" i="8" s="1"/>
  <c r="E56" i="8"/>
  <c r="F56" i="8" s="1"/>
  <c r="P25" i="8" s="1"/>
  <c r="E54" i="8"/>
  <c r="F54" i="8" s="1"/>
  <c r="P23" i="8" s="1"/>
  <c r="E53" i="8"/>
  <c r="F53" i="8" s="1"/>
  <c r="P22" i="8" s="1"/>
  <c r="Q22" i="9" s="1"/>
  <c r="E52" i="8"/>
  <c r="F52" i="8" s="1"/>
  <c r="P21" i="8" s="1"/>
  <c r="E51" i="8"/>
  <c r="F51" i="8" s="1"/>
  <c r="P20" i="8" s="1"/>
  <c r="E49" i="8"/>
  <c r="F49" i="8" s="1"/>
  <c r="P18" i="8" s="1"/>
  <c r="E48" i="8"/>
  <c r="F48" i="8" s="1"/>
  <c r="P17" i="8" s="1"/>
  <c r="Q17" i="9" s="1"/>
  <c r="E47" i="8"/>
  <c r="F47" i="8" s="1"/>
  <c r="P16" i="8" s="1"/>
  <c r="E46" i="8"/>
  <c r="F46" i="8" s="1"/>
  <c r="P15" i="8" s="1"/>
  <c r="Q18" i="9" l="1"/>
  <c r="Q16" i="9"/>
  <c r="Q15" i="9"/>
  <c r="Q23" i="9"/>
  <c r="Q21" i="9"/>
  <c r="Q20" i="9"/>
  <c r="Q28" i="9"/>
  <c r="Q26" i="9"/>
  <c r="Q25" i="9"/>
  <c r="O15" i="8"/>
  <c r="M15" i="8"/>
  <c r="K15" i="8"/>
  <c r="I15" i="8"/>
  <c r="G15" i="8"/>
  <c r="E15" i="8"/>
  <c r="C15" i="8"/>
  <c r="O16" i="8"/>
  <c r="M16" i="8"/>
  <c r="K16" i="8"/>
  <c r="I16" i="8"/>
  <c r="G16" i="8"/>
  <c r="E16" i="8"/>
  <c r="C16" i="8"/>
  <c r="O17" i="8"/>
  <c r="M17" i="8"/>
  <c r="M17" i="9" s="1"/>
  <c r="K17" i="8"/>
  <c r="K17" i="9" s="1"/>
  <c r="I17" i="8"/>
  <c r="G17" i="8"/>
  <c r="E17" i="8"/>
  <c r="C17" i="8"/>
  <c r="M18" i="8"/>
  <c r="O18" i="8"/>
  <c r="K18" i="8"/>
  <c r="I18" i="8"/>
  <c r="G18" i="8"/>
  <c r="E18" i="8"/>
  <c r="C18" i="8"/>
  <c r="O20" i="8"/>
  <c r="M20" i="8"/>
  <c r="K20" i="8"/>
  <c r="I20" i="8"/>
  <c r="G20" i="8"/>
  <c r="E20" i="8"/>
  <c r="C20" i="8"/>
  <c r="O21" i="8"/>
  <c r="M21" i="8"/>
  <c r="K21" i="8"/>
  <c r="I21" i="8"/>
  <c r="G21" i="8"/>
  <c r="E21" i="8"/>
  <c r="C21" i="8"/>
  <c r="O22" i="8"/>
  <c r="P22" i="9" s="1"/>
  <c r="M22" i="8"/>
  <c r="K22" i="8"/>
  <c r="K22" i="9" s="1"/>
  <c r="I22" i="8"/>
  <c r="I22" i="9" s="1"/>
  <c r="G22" i="8"/>
  <c r="E22" i="8"/>
  <c r="C22" i="8"/>
  <c r="C22" i="9" s="1"/>
  <c r="O23" i="8"/>
  <c r="M23" i="8"/>
  <c r="K23" i="8"/>
  <c r="I23" i="8"/>
  <c r="G23" i="8"/>
  <c r="E23" i="8"/>
  <c r="C23" i="8"/>
  <c r="O25" i="8"/>
  <c r="M25" i="8"/>
  <c r="K25" i="8"/>
  <c r="I25" i="8"/>
  <c r="G25" i="8"/>
  <c r="E25" i="8"/>
  <c r="C25" i="8"/>
  <c r="O26" i="8"/>
  <c r="M26" i="8"/>
  <c r="K26" i="8"/>
  <c r="I26" i="8"/>
  <c r="G26" i="8"/>
  <c r="E26" i="8"/>
  <c r="C26" i="8"/>
  <c r="O27" i="8"/>
  <c r="M27" i="8"/>
  <c r="K27" i="8"/>
  <c r="I27" i="8"/>
  <c r="G27" i="8"/>
  <c r="E27" i="8"/>
  <c r="E27" i="9" s="1"/>
  <c r="C27" i="8"/>
  <c r="O28" i="8"/>
  <c r="M28" i="8"/>
  <c r="K28" i="8"/>
  <c r="I28" i="8"/>
  <c r="G28" i="8"/>
  <c r="E28" i="8"/>
  <c r="C28" i="8"/>
  <c r="O17" i="9"/>
  <c r="C17" i="9"/>
  <c r="P17" i="9"/>
  <c r="O22" i="9"/>
  <c r="M22" i="9"/>
  <c r="G22" i="9"/>
  <c r="P27" i="9"/>
  <c r="O27" i="9"/>
  <c r="M27" i="9"/>
  <c r="K27" i="9"/>
  <c r="I27" i="9"/>
  <c r="G27" i="9"/>
  <c r="C27" i="9"/>
  <c r="E17" i="9"/>
  <c r="G17" i="9"/>
  <c r="E22" i="9" l="1"/>
  <c r="E21" i="9" s="1"/>
  <c r="I17" i="9"/>
  <c r="I15" i="9" s="1"/>
  <c r="G15" i="9"/>
  <c r="G18" i="9"/>
  <c r="G16" i="9"/>
  <c r="E28" i="9"/>
  <c r="E26" i="9"/>
  <c r="E25" i="9"/>
  <c r="E23" i="9"/>
  <c r="E20" i="9"/>
  <c r="E15" i="9"/>
  <c r="E18" i="9"/>
  <c r="E16" i="9"/>
  <c r="C28" i="9"/>
  <c r="C26" i="9"/>
  <c r="C25" i="9"/>
  <c r="C23" i="9"/>
  <c r="C21" i="9"/>
  <c r="C20" i="9"/>
  <c r="G28" i="9"/>
  <c r="G26" i="9"/>
  <c r="G25" i="9"/>
  <c r="I28" i="9"/>
  <c r="I26" i="9"/>
  <c r="I25" i="9"/>
  <c r="K28" i="9"/>
  <c r="K26" i="9"/>
  <c r="K25" i="9"/>
  <c r="M28" i="9"/>
  <c r="M26" i="9"/>
  <c r="M25" i="9"/>
  <c r="O25" i="9"/>
  <c r="O28" i="9"/>
  <c r="O26" i="9"/>
  <c r="P25" i="9"/>
  <c r="P28" i="9"/>
  <c r="P26" i="9"/>
  <c r="G23" i="9"/>
  <c r="G21" i="9"/>
  <c r="G20" i="9"/>
  <c r="I23" i="9"/>
  <c r="I21" i="9"/>
  <c r="I20" i="9"/>
  <c r="K23" i="9"/>
  <c r="K21" i="9"/>
  <c r="K20" i="9"/>
  <c r="M23" i="9"/>
  <c r="M21" i="9"/>
  <c r="M20" i="9"/>
  <c r="P23" i="9"/>
  <c r="P21" i="9"/>
  <c r="P20" i="9"/>
  <c r="O23" i="9"/>
  <c r="O21" i="9"/>
  <c r="O20" i="9"/>
  <c r="I18" i="9"/>
  <c r="K15" i="9"/>
  <c r="K18" i="9"/>
  <c r="K16" i="9"/>
  <c r="M15" i="9"/>
  <c r="M16" i="9"/>
  <c r="M18" i="9"/>
  <c r="P18" i="9"/>
  <c r="P16" i="9"/>
  <c r="P15" i="9"/>
  <c r="C18" i="9"/>
  <c r="C16" i="9"/>
  <c r="C15" i="9"/>
  <c r="O18" i="9"/>
  <c r="O16" i="9"/>
  <c r="O15" i="9"/>
  <c r="I16" i="9" l="1"/>
  <c r="E54" i="6"/>
  <c r="E55" i="6"/>
  <c r="E53" i="6"/>
  <c r="E16" i="6"/>
  <c r="E17" i="6"/>
  <c r="E82" i="6"/>
  <c r="E83" i="6"/>
  <c r="E84" i="6"/>
  <c r="E81" i="6"/>
  <c r="E85" i="6" l="1"/>
  <c r="E86" i="6" s="1"/>
  <c r="E89" i="6" s="1"/>
  <c r="E56" i="6"/>
  <c r="E87" i="6"/>
  <c r="E90" i="6" s="1"/>
  <c r="P34" i="8" l="1"/>
  <c r="Q33" i="10"/>
  <c r="E64" i="6"/>
  <c r="E63" i="6"/>
  <c r="E65" i="6" l="1"/>
  <c r="E73" i="6"/>
  <c r="E72" i="6"/>
  <c r="E74" i="6" s="1"/>
  <c r="E76" i="6" l="1"/>
  <c r="E79" i="6" s="1"/>
  <c r="E75" i="6"/>
  <c r="E78" i="6" s="1"/>
  <c r="E26" i="6"/>
  <c r="E25" i="6"/>
  <c r="O34" i="8" l="1"/>
  <c r="P33" i="10"/>
  <c r="E7" i="6"/>
  <c r="E45" i="6" l="1"/>
  <c r="E36" i="6"/>
  <c r="E5" i="6" l="1"/>
  <c r="E6" i="6"/>
  <c r="E15" i="6"/>
  <c r="E18" i="6" s="1"/>
  <c r="E35" i="6"/>
  <c r="E37" i="6" s="1"/>
  <c r="E44" i="6"/>
  <c r="E46" i="6" s="1"/>
  <c r="E8" i="6" l="1"/>
  <c r="E20" i="6"/>
  <c r="E23" i="6" s="1"/>
  <c r="E19" i="6"/>
  <c r="E22" i="6" s="1"/>
  <c r="E27" i="6"/>
  <c r="E28" i="6" s="1"/>
  <c r="E34" i="8" l="1"/>
  <c r="E33" i="10"/>
  <c r="E30" i="6"/>
  <c r="E33" i="6" s="1"/>
  <c r="E29" i="6"/>
  <c r="E32" i="6" s="1"/>
  <c r="E10" i="6"/>
  <c r="E13" i="6" s="1"/>
  <c r="E9" i="6"/>
  <c r="E12" i="6" s="1"/>
  <c r="C34" i="8" l="1"/>
  <c r="C33" i="10"/>
  <c r="G34" i="8"/>
  <c r="G33" i="10"/>
  <c r="E39" i="6"/>
  <c r="E42" i="6" s="1"/>
  <c r="E38" i="6"/>
  <c r="E41" i="6" s="1"/>
  <c r="I34" i="8" l="1"/>
  <c r="I33" i="10"/>
  <c r="E48" i="6"/>
  <c r="E51" i="6" s="1"/>
  <c r="E47" i="6"/>
  <c r="E50" i="6" s="1"/>
  <c r="K34" i="8" l="1"/>
  <c r="K33" i="10"/>
  <c r="E58" i="6"/>
  <c r="E61" i="6" s="1"/>
  <c r="E57" i="6"/>
  <c r="E60" i="6" s="1"/>
  <c r="M34" i="8" l="1"/>
  <c r="M33" i="10"/>
  <c r="E67" i="6"/>
  <c r="E70" i="6" s="1"/>
  <c r="E66" i="6"/>
  <c r="E69" i="6" s="1"/>
  <c r="O33" i="10" l="1"/>
</calcChain>
</file>

<file path=xl/sharedStrings.xml><?xml version="1.0" encoding="utf-8"?>
<sst xmlns="http://schemas.openxmlformats.org/spreadsheetml/2006/main" count="346" uniqueCount="109">
  <si>
    <t>УТВЕРЖДАЮ</t>
  </si>
  <si>
    <t>СТОИМОСТЬ ПУТЕВОК</t>
  </si>
  <si>
    <t>(применяется для расчета суммы возмещения стоимости путевки предприятием)</t>
  </si>
  <si>
    <t>№ п/п</t>
  </si>
  <si>
    <t>Полный комплекс обслуживания (стационар) с одноразовым питанием</t>
  </si>
  <si>
    <t>с проживанием в одноместном номере</t>
  </si>
  <si>
    <t>с проживанием в двухместном номере</t>
  </si>
  <si>
    <t>с проживанием в трехместном номере</t>
  </si>
  <si>
    <t>с проживанием в номере Люкс</t>
  </si>
  <si>
    <t>Полный комплекс обслуживания (стационар) с двухразовым питанием</t>
  </si>
  <si>
    <t>Полный комплекс обслуживания (стационар) с трехразовым питанием</t>
  </si>
  <si>
    <t>Грация</t>
  </si>
  <si>
    <t>SPA-комплекс</t>
  </si>
  <si>
    <t>Директор лечебно-профилактического объединения</t>
  </si>
  <si>
    <t>Долгина Н.Э.</t>
  </si>
  <si>
    <t>Согласовано:</t>
  </si>
  <si>
    <t>Директор по персоналу Монди группа России</t>
  </si>
  <si>
    <t>для сторонних организаций и частных лиц</t>
  </si>
  <si>
    <t>Председатель ППО "Сыктывкарский ЛПК"</t>
  </si>
  <si>
    <t>СОГЛАСОВАНО</t>
  </si>
  <si>
    <t>________________________Слободчиков А.И.</t>
  </si>
  <si>
    <t>Наименование услуги</t>
  </si>
  <si>
    <t>с/с услуги</t>
  </si>
  <si>
    <t>кол-во</t>
  </si>
  <si>
    <t>ст-ть, руб</t>
  </si>
  <si>
    <t>5 дней</t>
  </si>
  <si>
    <t>Рентабельность раб ЛПК -5%</t>
  </si>
  <si>
    <t>Рентабельность для сторонних - 16%</t>
  </si>
  <si>
    <t xml:space="preserve">  - работники ЛПК</t>
  </si>
  <si>
    <t xml:space="preserve">  - сторонние </t>
  </si>
  <si>
    <t>Фотиева О.Г.</t>
  </si>
  <si>
    <t>наименование вида путевок</t>
  </si>
  <si>
    <t>Первый заместитель генерального</t>
  </si>
  <si>
    <t>директора - финансовый директор</t>
  </si>
  <si>
    <t>Сияние кожи</t>
  </si>
  <si>
    <t>___________________Шаллеггер Г.</t>
  </si>
  <si>
    <t>в санаторий-профилакторий ЛПО АО "Монди СЛПК"</t>
  </si>
  <si>
    <t>Первый заместитель генерального директора-финансовый директор АО "Монди СЛПК"</t>
  </si>
  <si>
    <t>_______________Шаллеггер Г.</t>
  </si>
  <si>
    <t xml:space="preserve">для работников АО "Монди СЛПК", дочерних предприятий </t>
  </si>
  <si>
    <t>АО "Монди СЛПК"</t>
  </si>
  <si>
    <t>для работников  АО "Монди СЛПК", дочерних предприятий</t>
  </si>
  <si>
    <t>Беложаева Т.В.</t>
  </si>
  <si>
    <t>Спокойствие Будды</t>
  </si>
  <si>
    <t>Стройность и грация</t>
  </si>
  <si>
    <t>Стройность богини</t>
  </si>
  <si>
    <t>Легкость дыхания</t>
  </si>
  <si>
    <t>Трансаир</t>
  </si>
  <si>
    <t>Циркулярный душ</t>
  </si>
  <si>
    <t>Массаж воротниковой зоны</t>
  </si>
  <si>
    <t>LPG массаж</t>
  </si>
  <si>
    <t>фито бочка</t>
  </si>
  <si>
    <t>душ Шарко</t>
  </si>
  <si>
    <t>гидрофузионная капсула "Дермалайф Spa get"</t>
  </si>
  <si>
    <t>Галокамера</t>
  </si>
  <si>
    <t>Ингаляции</t>
  </si>
  <si>
    <t>Для 1 программы</t>
  </si>
  <si>
    <t>Сухая углекислая ванна</t>
  </si>
  <si>
    <t xml:space="preserve">Массаж </t>
  </si>
  <si>
    <t>Здоровое дыхание</t>
  </si>
  <si>
    <t>Гидромассаж</t>
  </si>
  <si>
    <t>Бодрость каждый день</t>
  </si>
  <si>
    <t>Спокойствие и безмятежность</t>
  </si>
  <si>
    <t>Блажентво</t>
  </si>
  <si>
    <t>безынъекционная биоревитализация  лица</t>
  </si>
  <si>
    <t>Обертывание</t>
  </si>
  <si>
    <t>Исполнение желаний</t>
  </si>
  <si>
    <t>"Спокойствие Будды"</t>
  </si>
  <si>
    <t>"Стройность и грация"</t>
  </si>
  <si>
    <t>"Стройность богини"</t>
  </si>
  <si>
    <t>"Легкость дыхания"</t>
  </si>
  <si>
    <t>"Бодрость каждый день"</t>
  </si>
  <si>
    <t>"Здоровое дыхание</t>
  </si>
  <si>
    <t>"Спокойствие и безмятежность"</t>
  </si>
  <si>
    <t>"Блаженство"</t>
  </si>
  <si>
    <t>"Исполнение желаний"</t>
  </si>
  <si>
    <t>6 дней</t>
  </si>
  <si>
    <t>% лечения</t>
  </si>
  <si>
    <t>без лечения</t>
  </si>
  <si>
    <t>стоим. леч</t>
  </si>
  <si>
    <t>Вводится с                                       2015 года</t>
  </si>
  <si>
    <t>Начальник отдела планирования и контроллинга</t>
  </si>
  <si>
    <t>Вводится с                                               2015 года</t>
  </si>
  <si>
    <t>Вводится с                                 2015 года</t>
  </si>
  <si>
    <t>ст-ть лечения в путевке</t>
  </si>
  <si>
    <t>Итого ст-ть лечения  в путевке</t>
  </si>
  <si>
    <t>Амбулаторная путевка</t>
  </si>
  <si>
    <t>комплекс с одноразовым питанием</t>
  </si>
  <si>
    <t>комплекс с двухразовым питанием</t>
  </si>
  <si>
    <t>Курсовка (лечение)</t>
  </si>
  <si>
    <t>% леч</t>
  </si>
  <si>
    <t>сумма леч</t>
  </si>
  <si>
    <t>без леч</t>
  </si>
  <si>
    <t>21 день</t>
  </si>
  <si>
    <t>14 дней</t>
  </si>
  <si>
    <t>Вводится с                        2018 года</t>
  </si>
  <si>
    <t>7 дней</t>
  </si>
  <si>
    <t>СПА ПУТЕВКИ</t>
  </si>
  <si>
    <t>Полный комплекс обслуживания (стационар) с 1-разовым питанием</t>
  </si>
  <si>
    <t>Полный комплекс обслуживания (стационар) с 2-разовым питанием</t>
  </si>
  <si>
    <t>Полный комплекс обслуживания (стационар) с 3-разовым питанием</t>
  </si>
  <si>
    <t>с проживанием в 1-местном номере</t>
  </si>
  <si>
    <t>с проживанием в 2-местном номере</t>
  </si>
  <si>
    <r>
      <t xml:space="preserve">1. </t>
    </r>
    <r>
      <rPr>
        <b/>
        <i/>
        <sz val="10"/>
        <color rgb="FFFF9966"/>
        <rFont val="Arial"/>
        <family val="2"/>
        <charset val="204"/>
      </rPr>
      <t>"Сияние кожи"</t>
    </r>
    <r>
      <rPr>
        <i/>
        <sz val="10"/>
        <color theme="1"/>
        <rFont val="Arial"/>
        <family val="2"/>
        <charset val="204"/>
      </rPr>
      <t xml:space="preserve"> на </t>
    </r>
    <r>
      <rPr>
        <b/>
        <i/>
        <sz val="10"/>
        <color rgb="FFFF9966"/>
        <rFont val="Arial"/>
        <family val="2"/>
        <charset val="204"/>
      </rPr>
      <t xml:space="preserve">14 </t>
    </r>
    <r>
      <rPr>
        <i/>
        <sz val="10"/>
        <color theme="1"/>
        <rFont val="Arial"/>
        <family val="2"/>
        <charset val="204"/>
      </rPr>
      <t>дней: процедуры, назначенные врачом санатория, плюс: 3 процедуры микротоковой терапии лица и 2 парафиновые ванночки для рук.</t>
    </r>
  </si>
  <si>
    <r>
      <rPr>
        <b/>
        <i/>
        <sz val="10"/>
        <color rgb="FFFF9966"/>
        <rFont val="Arial"/>
        <family val="2"/>
        <charset val="204"/>
      </rPr>
      <t>"Сияние кожи"</t>
    </r>
    <r>
      <rPr>
        <i/>
        <sz val="10"/>
        <color theme="1"/>
        <rFont val="Arial"/>
        <family val="2"/>
        <charset val="204"/>
      </rPr>
      <t xml:space="preserve">  на </t>
    </r>
    <r>
      <rPr>
        <b/>
        <i/>
        <sz val="10"/>
        <color rgb="FFFF9966"/>
        <rFont val="Arial"/>
        <family val="2"/>
        <charset val="204"/>
      </rPr>
      <t xml:space="preserve">7 </t>
    </r>
    <r>
      <rPr>
        <i/>
        <sz val="10"/>
        <color theme="1"/>
        <rFont val="Arial"/>
        <family val="2"/>
        <charset val="204"/>
      </rPr>
      <t>дней: процедуры, назначенные врачом санатория, плюс: 2 процедуры микротоковой терапии лица и 1 парафиновая ванночка для рук.</t>
    </r>
  </si>
  <si>
    <r>
      <t>2.</t>
    </r>
    <r>
      <rPr>
        <b/>
        <i/>
        <sz val="10"/>
        <color rgb="FFFF9966"/>
        <rFont val="Arial"/>
        <family val="2"/>
        <charset val="204"/>
      </rPr>
      <t>"Грация"</t>
    </r>
    <r>
      <rPr>
        <i/>
        <sz val="10"/>
        <color theme="1"/>
        <rFont val="Arial"/>
        <family val="2"/>
        <charset val="204"/>
      </rPr>
      <t xml:space="preserve"> на </t>
    </r>
    <r>
      <rPr>
        <b/>
        <i/>
        <sz val="10"/>
        <color rgb="FFFF9966"/>
        <rFont val="Arial"/>
        <family val="2"/>
        <charset val="204"/>
      </rPr>
      <t>14</t>
    </r>
    <r>
      <rPr>
        <i/>
        <sz val="10"/>
        <color theme="1"/>
        <rFont val="Arial"/>
        <family val="2"/>
        <charset val="204"/>
      </rPr>
      <t xml:space="preserve"> дней: процедуры, назначенные врачом санатория, плюс: 2 обертывания "Intenso", "Dren", антицеллюлитный массаж (5 процедур), парафиновая ванночка для рук (2 проц).</t>
    </r>
  </si>
  <si>
    <r>
      <rPr>
        <b/>
        <i/>
        <sz val="10"/>
        <color rgb="FFFF9966"/>
        <rFont val="Arial"/>
        <family val="2"/>
        <charset val="204"/>
      </rPr>
      <t>"Грация"</t>
    </r>
    <r>
      <rPr>
        <i/>
        <sz val="10"/>
        <color theme="1"/>
        <rFont val="Arial"/>
        <family val="2"/>
        <charset val="204"/>
      </rPr>
      <t xml:space="preserve"> на </t>
    </r>
    <r>
      <rPr>
        <b/>
        <i/>
        <sz val="10"/>
        <color rgb="FFFF9966"/>
        <rFont val="Arial"/>
        <family val="2"/>
        <charset val="204"/>
      </rPr>
      <t xml:space="preserve">7 </t>
    </r>
    <r>
      <rPr>
        <i/>
        <sz val="10"/>
        <color theme="1"/>
        <rFont val="Arial"/>
        <family val="2"/>
        <charset val="204"/>
      </rPr>
      <t>дней: процедуры, назначенные врачом санатория, плюс: 1 обертывание ("Intenso", "Dren" на выбор), антицеллюлитный массаж (3 процедуры), парафиновая ванночка для рук (1 процедура).</t>
    </r>
  </si>
  <si>
    <r>
      <t>3.</t>
    </r>
    <r>
      <rPr>
        <b/>
        <i/>
        <sz val="10"/>
        <color rgb="FFFF9966"/>
        <rFont val="Arial"/>
        <family val="2"/>
        <charset val="204"/>
      </rPr>
      <t xml:space="preserve">"SPA-комплекс" </t>
    </r>
    <r>
      <rPr>
        <i/>
        <sz val="10"/>
        <color theme="1"/>
        <rFont val="Arial"/>
        <family val="2"/>
        <charset val="204"/>
      </rPr>
      <t xml:space="preserve"> </t>
    </r>
    <r>
      <rPr>
        <b/>
        <i/>
        <sz val="10"/>
        <color rgb="FFFF9966"/>
        <rFont val="Arial"/>
        <family val="2"/>
        <charset val="204"/>
      </rPr>
      <t xml:space="preserve">14 </t>
    </r>
    <r>
      <rPr>
        <i/>
        <sz val="10"/>
        <color theme="1"/>
        <rFont val="Arial"/>
        <family val="2"/>
        <charset val="204"/>
      </rPr>
      <t>дней: процедуры, назначенные врачом санатория, плюс: шоколадное обертывание (1 процедура),  обертывание жемчужина моря(1 процедура) обертывание здоровая кожа (1 процедура), парафиновая ванночка для рук  (2 процедуры).</t>
    </r>
  </si>
  <si>
    <r>
      <rPr>
        <b/>
        <i/>
        <sz val="10"/>
        <color rgb="FFFF9966"/>
        <rFont val="Arial"/>
        <family val="2"/>
        <charset val="204"/>
      </rPr>
      <t>"SPA-комплекс"</t>
    </r>
    <r>
      <rPr>
        <i/>
        <sz val="10"/>
        <color theme="1"/>
        <rFont val="Arial"/>
        <family val="2"/>
        <charset val="204"/>
      </rPr>
      <t xml:space="preserve"> </t>
    </r>
    <r>
      <rPr>
        <b/>
        <i/>
        <sz val="10"/>
        <color rgb="FFFF9966"/>
        <rFont val="Arial"/>
        <family val="2"/>
        <charset val="204"/>
      </rPr>
      <t xml:space="preserve">7 </t>
    </r>
    <r>
      <rPr>
        <i/>
        <sz val="10"/>
        <color theme="1"/>
        <rFont val="Arial"/>
        <family val="2"/>
        <charset val="204"/>
      </rPr>
      <t>днй процедуры, назначенные врачом санатория, плюс: шоколадное обертывание (1 процедура); парафиновая ванночка для рук  (1 процедура).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</si>
</sst>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2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0"/>
      <name val="Arial"/>
      <family val="2"/>
      <charset val="204"/>
    </font>
    <font>
      <i/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1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sz val="11"/>
      <color rgb="FFFF0000"/>
      <name val="Arial"/>
      <family val="2"/>
      <charset val="204"/>
    </font>
    <font>
      <i/>
      <sz val="10"/>
      <color rgb="FFFF0000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theme="0"/>
      <name val="Arial"/>
      <family val="2"/>
      <charset val="204"/>
    </font>
    <font>
      <i/>
      <sz val="11"/>
      <color theme="1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sz val="10"/>
      <name val="Arial Cyr"/>
      <charset val="204"/>
    </font>
    <font>
      <b/>
      <i/>
      <sz val="10"/>
      <color rgb="FFFF9966"/>
      <name val="Arial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6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6" fillId="0" borderId="0"/>
  </cellStyleXfs>
  <cellXfs count="215">
    <xf numFmtId="0" fontId="0" fillId="0" borderId="0" xfId="0"/>
    <xf numFmtId="0" fontId="2" fillId="0" borderId="2" xfId="0" applyFont="1" applyBorder="1"/>
    <xf numFmtId="0" fontId="0" fillId="0" borderId="2" xfId="0" applyBorder="1"/>
    <xf numFmtId="0" fontId="0" fillId="0" borderId="0" xfId="0" applyFill="1"/>
    <xf numFmtId="0" fontId="0" fillId="0" borderId="0" xfId="0" applyFill="1" applyAlignment="1">
      <alignment horizontal="center"/>
    </xf>
    <xf numFmtId="1" fontId="0" fillId="0" borderId="0" xfId="0" applyNumberFormat="1" applyFill="1"/>
    <xf numFmtId="3" fontId="0" fillId="0" borderId="0" xfId="0" applyNumberFormat="1" applyFill="1"/>
    <xf numFmtId="0" fontId="0" fillId="0" borderId="0" xfId="0" applyFill="1" applyAlignment="1">
      <alignment horizontal="right"/>
    </xf>
    <xf numFmtId="0" fontId="4" fillId="0" borderId="0" xfId="0" applyFont="1" applyFill="1"/>
    <xf numFmtId="0" fontId="0" fillId="0" borderId="0" xfId="0" applyFill="1" applyBorder="1"/>
    <xf numFmtId="0" fontId="0" fillId="0" borderId="2" xfId="0" applyFill="1" applyBorder="1" applyAlignment="1">
      <alignment horizontal="center"/>
    </xf>
    <xf numFmtId="0" fontId="6" fillId="0" borderId="0" xfId="0" applyFont="1"/>
    <xf numFmtId="0" fontId="6" fillId="0" borderId="0" xfId="0" applyFont="1" applyAlignment="1"/>
    <xf numFmtId="0" fontId="6" fillId="0" borderId="0" xfId="0" applyFont="1" applyAlignment="1">
      <alignment wrapText="1"/>
    </xf>
    <xf numFmtId="3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7" fillId="0" borderId="2" xfId="0" applyFont="1" applyBorder="1"/>
    <xf numFmtId="0" fontId="6" fillId="0" borderId="2" xfId="0" applyFont="1" applyBorder="1"/>
    <xf numFmtId="0" fontId="9" fillId="0" borderId="0" xfId="0" applyFont="1"/>
    <xf numFmtId="0" fontId="9" fillId="0" borderId="0" xfId="0" applyFont="1" applyAlignment="1"/>
    <xf numFmtId="0" fontId="9" fillId="0" borderId="0" xfId="0" applyFont="1" applyAlignment="1">
      <alignment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10" fillId="0" borderId="0" xfId="0" applyFont="1"/>
    <xf numFmtId="0" fontId="6" fillId="0" borderId="0" xfId="0" applyFont="1" applyAlignment="1">
      <alignment vertical="center"/>
    </xf>
    <xf numFmtId="0" fontId="5" fillId="0" borderId="2" xfId="0" applyFont="1" applyBorder="1"/>
    <xf numFmtId="3" fontId="12" fillId="0" borderId="2" xfId="0" applyNumberFormat="1" applyFont="1" applyBorder="1" applyAlignment="1">
      <alignment horizontal="center" vertical="center"/>
    </xf>
    <xf numFmtId="0" fontId="12" fillId="0" borderId="2" xfId="0" applyFont="1" applyBorder="1"/>
    <xf numFmtId="0" fontId="7" fillId="0" borderId="0" xfId="0" applyFont="1" applyAlignment="1"/>
    <xf numFmtId="2" fontId="0" fillId="0" borderId="0" xfId="0" applyNumberFormat="1"/>
    <xf numFmtId="3" fontId="12" fillId="0" borderId="2" xfId="0" applyNumberFormat="1" applyFont="1" applyFill="1" applyBorder="1" applyAlignment="1">
      <alignment horizontal="center" vertical="center"/>
    </xf>
    <xf numFmtId="0" fontId="13" fillId="0" borderId="0" xfId="0" applyFont="1" applyBorder="1"/>
    <xf numFmtId="0" fontId="14" fillId="0" borderId="2" xfId="0" applyFont="1" applyBorder="1"/>
    <xf numFmtId="0" fontId="15" fillId="0" borderId="2" xfId="0" applyFont="1" applyBorder="1"/>
    <xf numFmtId="0" fontId="15" fillId="0" borderId="0" xfId="0" applyFont="1"/>
    <xf numFmtId="0" fontId="12" fillId="0" borderId="2" xfId="0" applyFont="1" applyFill="1" applyBorder="1"/>
    <xf numFmtId="0" fontId="7" fillId="0" borderId="0" xfId="0" applyFont="1"/>
    <xf numFmtId="0" fontId="6" fillId="0" borderId="0" xfId="0" applyFont="1" applyBorder="1"/>
    <xf numFmtId="0" fontId="7" fillId="0" borderId="0" xfId="0" applyFont="1" applyBorder="1"/>
    <xf numFmtId="0" fontId="16" fillId="0" borderId="0" xfId="0" applyFont="1"/>
    <xf numFmtId="0" fontId="12" fillId="0" borderId="0" xfId="0" applyFont="1" applyBorder="1" applyAlignment="1">
      <alignment vertical="center"/>
    </xf>
    <xf numFmtId="3" fontId="17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vertical="center" wrapText="1"/>
    </xf>
    <xf numFmtId="1" fontId="16" fillId="0" borderId="0" xfId="0" applyNumberFormat="1" applyFont="1"/>
    <xf numFmtId="1" fontId="16" fillId="0" borderId="0" xfId="0" applyNumberFormat="1" applyFont="1" applyBorder="1" applyAlignment="1">
      <alignment vertical="center" wrapText="1"/>
    </xf>
    <xf numFmtId="0" fontId="18" fillId="0" borderId="0" xfId="0" applyFont="1"/>
    <xf numFmtId="0" fontId="6" fillId="0" borderId="0" xfId="0" applyFont="1" applyAlignment="1">
      <alignment horizontal="right" wrapText="1"/>
    </xf>
    <xf numFmtId="0" fontId="6" fillId="0" borderId="0" xfId="0" applyFont="1" applyAlignment="1">
      <alignment horizontal="left" wrapText="1"/>
    </xf>
    <xf numFmtId="1" fontId="0" fillId="0" borderId="0" xfId="0" applyNumberFormat="1"/>
    <xf numFmtId="0" fontId="19" fillId="0" borderId="2" xfId="0" applyFont="1" applyFill="1" applyBorder="1"/>
    <xf numFmtId="1" fontId="19" fillId="0" borderId="2" xfId="0" applyNumberFormat="1" applyFont="1" applyFill="1" applyBorder="1"/>
    <xf numFmtId="0" fontId="19" fillId="8" borderId="2" xfId="0" applyFont="1" applyFill="1" applyBorder="1"/>
    <xf numFmtId="0" fontId="20" fillId="8" borderId="2" xfId="0" applyFont="1" applyFill="1" applyBorder="1"/>
    <xf numFmtId="1" fontId="20" fillId="8" borderId="2" xfId="0" applyNumberFormat="1" applyFont="1" applyFill="1" applyBorder="1"/>
    <xf numFmtId="0" fontId="19" fillId="0" borderId="0" xfId="0" applyFont="1" applyFill="1"/>
    <xf numFmtId="0" fontId="19" fillId="0" borderId="0" xfId="0" applyFont="1"/>
    <xf numFmtId="0" fontId="20" fillId="2" borderId="2" xfId="0" applyFont="1" applyFill="1" applyBorder="1"/>
    <xf numFmtId="0" fontId="19" fillId="2" borderId="2" xfId="0" applyFont="1" applyFill="1" applyBorder="1"/>
    <xf numFmtId="0" fontId="19" fillId="0" borderId="0" xfId="0" applyFont="1" applyFill="1" applyAlignment="1">
      <alignment horizontal="center"/>
    </xf>
    <xf numFmtId="1" fontId="20" fillId="2" borderId="2" xfId="0" applyNumberFormat="1" applyFont="1" applyFill="1" applyBorder="1"/>
    <xf numFmtId="1" fontId="20" fillId="0" borderId="0" xfId="0" applyNumberFormat="1" applyFont="1" applyFill="1"/>
    <xf numFmtId="0" fontId="19" fillId="0" borderId="0" xfId="0" applyFont="1" applyFill="1" applyBorder="1"/>
    <xf numFmtId="0" fontId="20" fillId="3" borderId="2" xfId="0" applyFont="1" applyFill="1" applyBorder="1"/>
    <xf numFmtId="0" fontId="19" fillId="3" borderId="2" xfId="0" applyFont="1" applyFill="1" applyBorder="1"/>
    <xf numFmtId="1" fontId="19" fillId="3" borderId="2" xfId="0" applyNumberFormat="1" applyFont="1" applyFill="1" applyBorder="1"/>
    <xf numFmtId="1" fontId="20" fillId="3" borderId="2" xfId="0" applyNumberFormat="1" applyFont="1" applyFill="1" applyBorder="1"/>
    <xf numFmtId="1" fontId="19" fillId="0" borderId="0" xfId="0" applyNumberFormat="1" applyFont="1" applyFill="1"/>
    <xf numFmtId="0" fontId="20" fillId="4" borderId="2" xfId="0" applyFont="1" applyFill="1" applyBorder="1"/>
    <xf numFmtId="1" fontId="20" fillId="4" borderId="2" xfId="0" applyNumberFormat="1" applyFont="1" applyFill="1" applyBorder="1"/>
    <xf numFmtId="0" fontId="19" fillId="4" borderId="2" xfId="0" applyFont="1" applyFill="1" applyBorder="1"/>
    <xf numFmtId="1" fontId="19" fillId="4" borderId="2" xfId="0" applyNumberFormat="1" applyFont="1" applyFill="1" applyBorder="1"/>
    <xf numFmtId="0" fontId="20" fillId="5" borderId="2" xfId="0" applyFont="1" applyFill="1" applyBorder="1"/>
    <xf numFmtId="1" fontId="20" fillId="5" borderId="2" xfId="0" applyNumberFormat="1" applyFont="1" applyFill="1" applyBorder="1"/>
    <xf numFmtId="0" fontId="19" fillId="9" borderId="2" xfId="0" applyFont="1" applyFill="1" applyBorder="1"/>
    <xf numFmtId="2" fontId="19" fillId="0" borderId="0" xfId="0" applyNumberFormat="1" applyFont="1" applyFill="1"/>
    <xf numFmtId="0" fontId="19" fillId="5" borderId="2" xfId="0" applyFont="1" applyFill="1" applyBorder="1"/>
    <xf numFmtId="1" fontId="19" fillId="5" borderId="2" xfId="0" applyNumberFormat="1" applyFont="1" applyFill="1" applyBorder="1"/>
    <xf numFmtId="0" fontId="20" fillId="6" borderId="2" xfId="0" applyFont="1" applyFill="1" applyBorder="1"/>
    <xf numFmtId="1" fontId="20" fillId="6" borderId="2" xfId="0" applyNumberFormat="1" applyFont="1" applyFill="1" applyBorder="1"/>
    <xf numFmtId="0" fontId="19" fillId="6" borderId="2" xfId="0" applyFont="1" applyFill="1" applyBorder="1"/>
    <xf numFmtId="1" fontId="19" fillId="6" borderId="2" xfId="0" applyNumberFormat="1" applyFont="1" applyFill="1" applyBorder="1"/>
    <xf numFmtId="0" fontId="20" fillId="7" borderId="2" xfId="0" applyFont="1" applyFill="1" applyBorder="1"/>
    <xf numFmtId="1" fontId="20" fillId="7" borderId="2" xfId="0" applyNumberFormat="1" applyFont="1" applyFill="1" applyBorder="1"/>
    <xf numFmtId="0" fontId="19" fillId="7" borderId="2" xfId="0" applyFont="1" applyFill="1" applyBorder="1"/>
    <xf numFmtId="1" fontId="19" fillId="7" borderId="2" xfId="0" applyNumberFormat="1" applyFont="1" applyFill="1" applyBorder="1"/>
    <xf numFmtId="0" fontId="20" fillId="10" borderId="2" xfId="0" applyFont="1" applyFill="1" applyBorder="1"/>
    <xf numFmtId="0" fontId="19" fillId="10" borderId="2" xfId="0" applyFont="1" applyFill="1" applyBorder="1"/>
    <xf numFmtId="1" fontId="20" fillId="10" borderId="2" xfId="0" applyNumberFormat="1" applyFont="1" applyFill="1" applyBorder="1"/>
    <xf numFmtId="0" fontId="20" fillId="9" borderId="2" xfId="0" applyFont="1" applyFill="1" applyBorder="1"/>
    <xf numFmtId="1" fontId="20" fillId="9" borderId="2" xfId="0" applyNumberFormat="1" applyFont="1" applyFill="1" applyBorder="1"/>
    <xf numFmtId="0" fontId="2" fillId="0" borderId="2" xfId="0" applyFont="1" applyBorder="1" applyAlignment="1">
      <alignment wrapText="1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/>
    </xf>
    <xf numFmtId="3" fontId="10" fillId="0" borderId="2" xfId="0" applyNumberFormat="1" applyFont="1" applyBorder="1" applyAlignment="1">
      <alignment horizontal="center" vertical="center"/>
    </xf>
    <xf numFmtId="0" fontId="10" fillId="0" borderId="2" xfId="0" applyFont="1" applyBorder="1"/>
    <xf numFmtId="3" fontId="10" fillId="0" borderId="2" xfId="0" applyNumberFormat="1" applyFont="1" applyBorder="1" applyAlignment="1">
      <alignment horizontal="center"/>
    </xf>
    <xf numFmtId="3" fontId="13" fillId="0" borderId="2" xfId="0" applyNumberFormat="1" applyFont="1" applyFill="1" applyBorder="1" applyAlignment="1">
      <alignment horizontal="center" vertical="center"/>
    </xf>
    <xf numFmtId="3" fontId="13" fillId="0" borderId="2" xfId="0" applyNumberFormat="1" applyFont="1" applyBorder="1" applyAlignment="1">
      <alignment horizontal="center" vertical="center"/>
    </xf>
    <xf numFmtId="0" fontId="0" fillId="0" borderId="0" xfId="0" applyBorder="1"/>
    <xf numFmtId="3" fontId="13" fillId="0" borderId="0" xfId="0" applyNumberFormat="1" applyFont="1" applyFill="1" applyBorder="1" applyAlignment="1">
      <alignment vertical="center"/>
    </xf>
    <xf numFmtId="1" fontId="19" fillId="8" borderId="2" xfId="0" applyNumberFormat="1" applyFont="1" applyFill="1" applyBorder="1"/>
    <xf numFmtId="1" fontId="21" fillId="0" borderId="0" xfId="0" applyNumberFormat="1" applyFont="1" applyBorder="1" applyAlignment="1">
      <alignment horizontal="center" vertical="center"/>
    </xf>
    <xf numFmtId="0" fontId="12" fillId="0" borderId="0" xfId="0" applyFont="1" applyBorder="1"/>
    <xf numFmtId="0" fontId="12" fillId="0" borderId="0" xfId="0" applyFont="1"/>
    <xf numFmtId="0" fontId="9" fillId="0" borderId="2" xfId="0" applyFont="1" applyBorder="1" applyAlignment="1">
      <alignment horizontal="left" wrapText="1"/>
    </xf>
    <xf numFmtId="1" fontId="12" fillId="0" borderId="0" xfId="0" applyNumberFormat="1" applyFont="1" applyBorder="1" applyAlignment="1"/>
    <xf numFmtId="0" fontId="22" fillId="0" borderId="2" xfId="0" applyFont="1" applyBorder="1" applyAlignment="1">
      <alignment horizontal="left" wrapText="1"/>
    </xf>
    <xf numFmtId="0" fontId="23" fillId="0" borderId="2" xfId="0" applyFont="1" applyBorder="1"/>
    <xf numFmtId="0" fontId="24" fillId="0" borderId="2" xfId="0" applyFont="1" applyBorder="1"/>
    <xf numFmtId="1" fontId="6" fillId="0" borderId="6" xfId="0" applyNumberFormat="1" applyFont="1" applyBorder="1" applyAlignment="1">
      <alignment horizontal="center" vertical="center"/>
    </xf>
    <xf numFmtId="1" fontId="12" fillId="0" borderId="2" xfId="0" applyNumberFormat="1" applyFont="1" applyBorder="1" applyAlignment="1">
      <alignment horizontal="center"/>
    </xf>
    <xf numFmtId="3" fontId="12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12" fillId="0" borderId="6" xfId="0" applyNumberFormat="1" applyFont="1" applyBorder="1" applyAlignment="1">
      <alignment horizontal="center" vertical="center"/>
    </xf>
    <xf numFmtId="3" fontId="21" fillId="0" borderId="0" xfId="0" applyNumberFormat="1" applyFont="1" applyBorder="1" applyAlignment="1">
      <alignment horizontal="center" vertical="center"/>
    </xf>
    <xf numFmtId="1" fontId="21" fillId="0" borderId="0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1" fontId="6" fillId="0" borderId="2" xfId="0" applyNumberFormat="1" applyFont="1" applyBorder="1" applyAlignment="1">
      <alignment horizontal="center" vertical="center"/>
    </xf>
    <xf numFmtId="1" fontId="12" fillId="0" borderId="2" xfId="0" applyNumberFormat="1" applyFont="1" applyBorder="1" applyAlignment="1">
      <alignment horizontal="center" vertical="center"/>
    </xf>
    <xf numFmtId="1" fontId="8" fillId="0" borderId="0" xfId="0" applyNumberFormat="1" applyFont="1" applyFill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0" fontId="25" fillId="0" borderId="2" xfId="0" applyFont="1" applyFill="1" applyBorder="1"/>
    <xf numFmtId="1" fontId="25" fillId="0" borderId="2" xfId="0" applyNumberFormat="1" applyFont="1" applyFill="1" applyBorder="1"/>
    <xf numFmtId="4" fontId="12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 wrapText="1"/>
    </xf>
    <xf numFmtId="3" fontId="6" fillId="0" borderId="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left" wrapText="1"/>
    </xf>
    <xf numFmtId="0" fontId="6" fillId="0" borderId="1" xfId="0" applyFont="1" applyBorder="1" applyAlignment="1">
      <alignment horizontal="righ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6" fillId="0" borderId="0" xfId="0" applyFont="1" applyAlignment="1">
      <alignment horizontal="right" wrapText="1"/>
    </xf>
    <xf numFmtId="0" fontId="9" fillId="0" borderId="0" xfId="0" applyFont="1" applyBorder="1" applyAlignment="1">
      <alignment horizontal="right"/>
    </xf>
    <xf numFmtId="0" fontId="6" fillId="0" borderId="0" xfId="0" applyFont="1" applyAlignment="1">
      <alignment horizontal="center" wrapText="1"/>
    </xf>
    <xf numFmtId="0" fontId="20" fillId="9" borderId="6" xfId="0" applyFont="1" applyFill="1" applyBorder="1" applyAlignment="1">
      <alignment horizontal="center"/>
    </xf>
    <xf numFmtId="0" fontId="20" fillId="9" borderId="7" xfId="0" applyFont="1" applyFill="1" applyBorder="1" applyAlignment="1">
      <alignment horizontal="center"/>
    </xf>
    <xf numFmtId="0" fontId="20" fillId="9" borderId="8" xfId="0" applyFont="1" applyFill="1" applyBorder="1" applyAlignment="1">
      <alignment horizontal="center"/>
    </xf>
    <xf numFmtId="0" fontId="20" fillId="10" borderId="6" xfId="0" applyFont="1" applyFill="1" applyBorder="1" applyAlignment="1">
      <alignment horizontal="center"/>
    </xf>
    <xf numFmtId="0" fontId="20" fillId="10" borderId="7" xfId="0" applyFont="1" applyFill="1" applyBorder="1" applyAlignment="1">
      <alignment horizontal="center"/>
    </xf>
    <xf numFmtId="0" fontId="20" fillId="10" borderId="8" xfId="0" applyFont="1" applyFill="1" applyBorder="1" applyAlignment="1">
      <alignment horizontal="center"/>
    </xf>
    <xf numFmtId="0" fontId="20" fillId="8" borderId="6" xfId="0" applyFont="1" applyFill="1" applyBorder="1" applyAlignment="1">
      <alignment horizontal="center"/>
    </xf>
    <xf numFmtId="0" fontId="20" fillId="8" borderId="7" xfId="0" applyFont="1" applyFill="1" applyBorder="1" applyAlignment="1">
      <alignment horizontal="center"/>
    </xf>
    <xf numFmtId="0" fontId="20" fillId="8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" fontId="6" fillId="0" borderId="6" xfId="0" applyNumberFormat="1" applyFont="1" applyBorder="1" applyAlignment="1">
      <alignment horizontal="center" vertical="center"/>
    </xf>
    <xf numFmtId="1" fontId="6" fillId="0" borderId="8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indent="30"/>
    </xf>
    <xf numFmtId="3" fontId="10" fillId="0" borderId="6" xfId="0" applyNumberFormat="1" applyFont="1" applyBorder="1" applyAlignment="1">
      <alignment horizontal="center" vertical="center"/>
    </xf>
    <xf numFmtId="3" fontId="10" fillId="0" borderId="8" xfId="0" applyNumberFormat="1" applyFont="1" applyBorder="1" applyAlignment="1">
      <alignment horizontal="center" vertical="center"/>
    </xf>
    <xf numFmtId="3" fontId="10" fillId="0" borderId="2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 wrapText="1"/>
    </xf>
    <xf numFmtId="0" fontId="6" fillId="12" borderId="2" xfId="0" applyFont="1" applyFill="1" applyBorder="1" applyAlignment="1">
      <alignment horizontal="center" vertical="center" wrapText="1"/>
    </xf>
    <xf numFmtId="3" fontId="10" fillId="0" borderId="6" xfId="0" applyNumberFormat="1" applyFont="1" applyBorder="1" applyAlignment="1">
      <alignment horizontal="center" vertical="center" wrapText="1"/>
    </xf>
    <xf numFmtId="3" fontId="10" fillId="0" borderId="8" xfId="0" applyNumberFormat="1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6" fillId="11" borderId="2" xfId="0" applyFont="1" applyFill="1" applyBorder="1" applyAlignment="1">
      <alignment horizontal="center" vertical="center" wrapText="1"/>
    </xf>
    <xf numFmtId="1" fontId="8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center" vertical="center"/>
    </xf>
    <xf numFmtId="1" fontId="12" fillId="0" borderId="6" xfId="0" applyNumberFormat="1" applyFont="1" applyBorder="1" applyAlignment="1">
      <alignment horizontal="center"/>
    </xf>
    <xf numFmtId="1" fontId="12" fillId="0" borderId="8" xfId="0" applyNumberFormat="1" applyFont="1" applyBorder="1" applyAlignment="1">
      <alignment horizontal="center"/>
    </xf>
    <xf numFmtId="3" fontId="13" fillId="0" borderId="6" xfId="0" applyNumberFormat="1" applyFont="1" applyFill="1" applyBorder="1" applyAlignment="1">
      <alignment horizontal="center" vertical="center"/>
    </xf>
    <xf numFmtId="3" fontId="13" fillId="0" borderId="8" xfId="0" applyNumberFormat="1" applyFont="1" applyFill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3" fontId="13" fillId="0" borderId="6" xfId="0" applyNumberFormat="1" applyFont="1" applyBorder="1" applyAlignment="1">
      <alignment horizontal="center"/>
    </xf>
    <xf numFmtId="3" fontId="13" fillId="0" borderId="8" xfId="0" applyNumberFormat="1" applyFont="1" applyBorder="1" applyAlignment="1">
      <alignment horizontal="center"/>
    </xf>
    <xf numFmtId="3" fontId="13" fillId="0" borderId="6" xfId="0" applyNumberFormat="1" applyFont="1" applyBorder="1" applyAlignment="1">
      <alignment horizontal="center" vertical="center"/>
    </xf>
    <xf numFmtId="3" fontId="13" fillId="0" borderId="8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right"/>
    </xf>
    <xf numFmtId="1" fontId="12" fillId="0" borderId="6" xfId="0" applyNumberFormat="1" applyFont="1" applyBorder="1" applyAlignment="1">
      <alignment horizontal="center" vertical="center"/>
    </xf>
    <xf numFmtId="1" fontId="12" fillId="0" borderId="8" xfId="0" applyNumberFormat="1" applyFont="1" applyBorder="1" applyAlignment="1">
      <alignment horizontal="center" vertical="center"/>
    </xf>
    <xf numFmtId="3" fontId="12" fillId="0" borderId="6" xfId="0" applyNumberFormat="1" applyFont="1" applyBorder="1" applyAlignment="1">
      <alignment horizontal="center" vertical="center"/>
    </xf>
    <xf numFmtId="3" fontId="12" fillId="0" borderId="8" xfId="0" applyNumberFormat="1" applyFont="1" applyBorder="1" applyAlignment="1">
      <alignment horizontal="center" vertical="center"/>
    </xf>
    <xf numFmtId="3" fontId="21" fillId="0" borderId="0" xfId="0" applyNumberFormat="1" applyFont="1" applyBorder="1" applyAlignment="1">
      <alignment horizontal="center" vertical="center"/>
    </xf>
    <xf numFmtId="3" fontId="12" fillId="13" borderId="10" xfId="0" applyNumberFormat="1" applyFont="1" applyFill="1" applyBorder="1" applyAlignment="1">
      <alignment horizontal="center" vertical="center" wrapText="1"/>
    </xf>
    <xf numFmtId="3" fontId="12" fillId="13" borderId="11" xfId="0" applyNumberFormat="1" applyFont="1" applyFill="1" applyBorder="1" applyAlignment="1">
      <alignment horizontal="center" vertical="center" wrapText="1"/>
    </xf>
    <xf numFmtId="0" fontId="12" fillId="13" borderId="10" xfId="0" applyFont="1" applyFill="1" applyBorder="1" applyAlignment="1">
      <alignment horizontal="center" vertical="center"/>
    </xf>
    <xf numFmtId="0" fontId="12" fillId="13" borderId="11" xfId="0" applyFont="1" applyFill="1" applyBorder="1" applyAlignment="1">
      <alignment horizontal="center" vertical="center"/>
    </xf>
    <xf numFmtId="0" fontId="12" fillId="13" borderId="10" xfId="0" applyFont="1" applyFill="1" applyBorder="1" applyAlignment="1">
      <alignment horizontal="center" vertical="center" wrapText="1"/>
    </xf>
    <xf numFmtId="0" fontId="12" fillId="13" borderId="11" xfId="0" applyFont="1" applyFill="1" applyBorder="1" applyAlignment="1">
      <alignment horizontal="center" vertical="center" wrapText="1"/>
    </xf>
    <xf numFmtId="3" fontId="12" fillId="13" borderId="9" xfId="0" applyNumberFormat="1" applyFont="1" applyFill="1" applyBorder="1" applyAlignment="1">
      <alignment horizontal="center" vertical="center" wrapText="1"/>
    </xf>
    <xf numFmtId="3" fontId="12" fillId="13" borderId="12" xfId="0" applyNumberFormat="1" applyFont="1" applyFill="1" applyBorder="1" applyAlignment="1">
      <alignment horizontal="center" vertical="center" wrapText="1"/>
    </xf>
    <xf numFmtId="0" fontId="12" fillId="13" borderId="9" xfId="0" applyFont="1" applyFill="1" applyBorder="1" applyAlignment="1">
      <alignment horizontal="center" vertical="center"/>
    </xf>
    <xf numFmtId="0" fontId="12" fillId="13" borderId="12" xfId="0" applyFont="1" applyFill="1" applyBorder="1" applyAlignment="1">
      <alignment horizontal="center" vertical="center"/>
    </xf>
    <xf numFmtId="0" fontId="12" fillId="13" borderId="9" xfId="0" applyFont="1" applyFill="1" applyBorder="1" applyAlignment="1">
      <alignment horizontal="center" vertical="center" wrapText="1"/>
    </xf>
    <xf numFmtId="0" fontId="12" fillId="13" borderId="12" xfId="0" applyFont="1" applyFill="1" applyBorder="1" applyAlignment="1">
      <alignment horizontal="center" vertical="center" wrapText="1"/>
    </xf>
    <xf numFmtId="0" fontId="5" fillId="13" borderId="6" xfId="0" applyFont="1" applyFill="1" applyBorder="1" applyAlignment="1">
      <alignment horizontal="left"/>
    </xf>
    <xf numFmtId="0" fontId="5" fillId="13" borderId="7" xfId="0" applyFont="1" applyFill="1" applyBorder="1" applyAlignment="1">
      <alignment horizontal="left"/>
    </xf>
    <xf numFmtId="0" fontId="5" fillId="13" borderId="8" xfId="0" applyFont="1" applyFill="1" applyBorder="1" applyAlignment="1">
      <alignment horizontal="left"/>
    </xf>
    <xf numFmtId="0" fontId="9" fillId="0" borderId="0" xfId="0" applyFont="1" applyAlignment="1">
      <alignment horizontal="left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colors>
    <mruColors>
      <color rgb="FFFF99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1"/>
  <sheetViews>
    <sheetView tabSelected="1" view="pageBreakPreview" zoomScaleSheetLayoutView="100" workbookViewId="0">
      <selection activeCell="B34" sqref="B34"/>
    </sheetView>
  </sheetViews>
  <sheetFormatPr defaultRowHeight="15" x14ac:dyDescent="0.25"/>
  <cols>
    <col min="1" max="1" width="4" customWidth="1"/>
    <col min="2" max="2" width="45.85546875" customWidth="1"/>
    <col min="3" max="3" width="16.7109375" customWidth="1"/>
    <col min="4" max="5" width="18.140625" customWidth="1"/>
    <col min="6" max="6" width="18.28515625" customWidth="1"/>
    <col min="7" max="7" width="17.5703125" customWidth="1"/>
    <col min="8" max="8" width="18" customWidth="1"/>
    <col min="9" max="9" width="13.28515625" customWidth="1"/>
    <col min="10" max="10" width="9.140625" customWidth="1"/>
  </cols>
  <sheetData>
    <row r="1" spans="1:12" ht="15.75" x14ac:dyDescent="0.25">
      <c r="A1" s="143" t="s">
        <v>97</v>
      </c>
      <c r="B1" s="143"/>
      <c r="C1" s="143"/>
      <c r="D1" s="143"/>
      <c r="E1" s="143"/>
      <c r="F1" s="143"/>
      <c r="G1" s="143"/>
      <c r="H1" s="143"/>
      <c r="I1" s="11"/>
    </row>
    <row r="2" spans="1:12" ht="15.75" x14ac:dyDescent="0.25">
      <c r="A2" s="143" t="s">
        <v>36</v>
      </c>
      <c r="B2" s="143"/>
      <c r="C2" s="143"/>
      <c r="D2" s="143"/>
      <c r="E2" s="143"/>
      <c r="F2" s="143"/>
      <c r="G2" s="143"/>
      <c r="H2" s="143"/>
      <c r="I2" s="11"/>
    </row>
    <row r="3" spans="1:12" ht="15.75" customHeight="1" x14ac:dyDescent="0.25">
      <c r="A3" s="144" t="s">
        <v>17</v>
      </c>
      <c r="B3" s="144"/>
      <c r="C3" s="144"/>
      <c r="D3" s="144"/>
      <c r="E3" s="144"/>
      <c r="F3" s="144"/>
      <c r="G3" s="144"/>
      <c r="H3" s="144"/>
      <c r="I3" s="11"/>
    </row>
    <row r="4" spans="1:12" x14ac:dyDescent="0.25">
      <c r="A4" s="128"/>
      <c r="B4" s="128"/>
      <c r="C4" s="128"/>
      <c r="D4" s="128"/>
      <c r="E4" s="128"/>
      <c r="F4" s="128"/>
      <c r="G4" s="128"/>
      <c r="H4" s="128"/>
      <c r="I4" s="11"/>
      <c r="J4" s="146"/>
      <c r="K4" s="146"/>
      <c r="L4" s="146"/>
    </row>
    <row r="5" spans="1:12" x14ac:dyDescent="0.25">
      <c r="A5" s="142" t="s">
        <v>95</v>
      </c>
      <c r="B5" s="142"/>
      <c r="C5" s="142"/>
      <c r="D5" s="142"/>
      <c r="E5" s="142"/>
      <c r="F5" s="142"/>
      <c r="G5" s="142"/>
      <c r="H5" s="142"/>
      <c r="I5" s="12"/>
    </row>
    <row r="6" spans="1:12" ht="15.75" customHeight="1" x14ac:dyDescent="0.25">
      <c r="A6" s="183" t="s">
        <v>3</v>
      </c>
      <c r="B6" s="186" t="s">
        <v>31</v>
      </c>
      <c r="C6" s="199" t="s">
        <v>34</v>
      </c>
      <c r="D6" s="200"/>
      <c r="E6" s="201" t="s">
        <v>11</v>
      </c>
      <c r="F6" s="202"/>
      <c r="G6" s="203" t="s">
        <v>12</v>
      </c>
      <c r="H6" s="204"/>
    </row>
    <row r="7" spans="1:12" ht="15" customHeight="1" x14ac:dyDescent="0.25">
      <c r="A7" s="184"/>
      <c r="B7" s="187"/>
      <c r="C7" s="205"/>
      <c r="D7" s="206"/>
      <c r="E7" s="207"/>
      <c r="F7" s="208"/>
      <c r="G7" s="209"/>
      <c r="H7" s="210"/>
    </row>
    <row r="8" spans="1:12" ht="43.5" customHeight="1" x14ac:dyDescent="0.25">
      <c r="A8" s="185"/>
      <c r="B8" s="188"/>
      <c r="C8" s="127" t="s">
        <v>94</v>
      </c>
      <c r="D8" s="127" t="s">
        <v>96</v>
      </c>
      <c r="E8" s="127" t="s">
        <v>94</v>
      </c>
      <c r="F8" s="127" t="s">
        <v>96</v>
      </c>
      <c r="G8" s="127" t="s">
        <v>94</v>
      </c>
      <c r="H8" s="127" t="s">
        <v>96</v>
      </c>
    </row>
    <row r="9" spans="1:12" ht="19.149999999999999" customHeight="1" x14ac:dyDescent="0.25">
      <c r="A9" s="26">
        <v>1</v>
      </c>
      <c r="B9" s="211" t="s">
        <v>98</v>
      </c>
      <c r="C9" s="212"/>
      <c r="D9" s="212"/>
      <c r="E9" s="212"/>
      <c r="F9" s="212"/>
      <c r="G9" s="212"/>
      <c r="H9" s="213"/>
      <c r="I9" s="103"/>
    </row>
    <row r="10" spans="1:12" ht="17.25" customHeight="1" x14ac:dyDescent="0.25">
      <c r="A10" s="28"/>
      <c r="B10" s="28" t="s">
        <v>101</v>
      </c>
      <c r="C10" s="27">
        <v>31360</v>
      </c>
      <c r="D10" s="27">
        <v>16030</v>
      </c>
      <c r="E10" s="27">
        <v>40740</v>
      </c>
      <c r="F10" s="27">
        <v>20720</v>
      </c>
      <c r="G10" s="27">
        <v>36400</v>
      </c>
      <c r="H10" s="27">
        <v>16730</v>
      </c>
      <c r="I10" s="124"/>
    </row>
    <row r="11" spans="1:12" ht="20.25" customHeight="1" x14ac:dyDescent="0.25">
      <c r="A11" s="28"/>
      <c r="B11" s="28" t="s">
        <v>102</v>
      </c>
      <c r="C11" s="27">
        <v>29400</v>
      </c>
      <c r="D11" s="27">
        <v>15050</v>
      </c>
      <c r="E11" s="27">
        <v>38780</v>
      </c>
      <c r="F11" s="27">
        <v>19740</v>
      </c>
      <c r="G11" s="27">
        <v>34440</v>
      </c>
      <c r="H11" s="27">
        <v>15750</v>
      </c>
      <c r="I11" s="124"/>
    </row>
    <row r="12" spans="1:12" ht="17.25" hidden="1" customHeight="1" x14ac:dyDescent="0.25">
      <c r="A12" s="28"/>
      <c r="B12" s="28" t="s">
        <v>7</v>
      </c>
      <c r="C12" s="27">
        <v>28000</v>
      </c>
      <c r="D12" s="27">
        <v>26810</v>
      </c>
      <c r="E12" s="27">
        <v>37380</v>
      </c>
      <c r="F12" s="27">
        <v>31500</v>
      </c>
      <c r="G12" s="27">
        <v>33040</v>
      </c>
      <c r="H12" s="27">
        <v>27510</v>
      </c>
      <c r="I12" s="124"/>
    </row>
    <row r="13" spans="1:12" ht="17.25" customHeight="1" x14ac:dyDescent="0.25">
      <c r="A13" s="28"/>
      <c r="B13" s="28" t="s">
        <v>8</v>
      </c>
      <c r="C13" s="27">
        <v>59360</v>
      </c>
      <c r="D13" s="27">
        <v>30030</v>
      </c>
      <c r="E13" s="27">
        <v>68740</v>
      </c>
      <c r="F13" s="27">
        <v>34720</v>
      </c>
      <c r="G13" s="27">
        <v>64400</v>
      </c>
      <c r="H13" s="27">
        <v>30730</v>
      </c>
      <c r="I13" s="124"/>
    </row>
    <row r="14" spans="1:12" ht="21" customHeight="1" x14ac:dyDescent="0.25">
      <c r="A14" s="26">
        <v>2</v>
      </c>
      <c r="B14" s="211" t="s">
        <v>99</v>
      </c>
      <c r="C14" s="212"/>
      <c r="D14" s="212"/>
      <c r="E14" s="212"/>
      <c r="F14" s="212"/>
      <c r="G14" s="212"/>
      <c r="H14" s="213"/>
      <c r="I14" s="124"/>
    </row>
    <row r="15" spans="1:12" ht="20.25" customHeight="1" x14ac:dyDescent="0.25">
      <c r="A15" s="28"/>
      <c r="B15" s="28" t="s">
        <v>101</v>
      </c>
      <c r="C15" s="27">
        <v>34160</v>
      </c>
      <c r="D15" s="27">
        <v>17430</v>
      </c>
      <c r="E15" s="27">
        <v>43540</v>
      </c>
      <c r="F15" s="27">
        <v>22120</v>
      </c>
      <c r="G15" s="27">
        <v>39200</v>
      </c>
      <c r="H15" s="27">
        <v>18130</v>
      </c>
      <c r="I15" s="124"/>
    </row>
    <row r="16" spans="1:12" ht="20.25" customHeight="1" x14ac:dyDescent="0.25">
      <c r="A16" s="28"/>
      <c r="B16" s="28" t="s">
        <v>102</v>
      </c>
      <c r="C16" s="27">
        <v>32200</v>
      </c>
      <c r="D16" s="27">
        <v>16450</v>
      </c>
      <c r="E16" s="27">
        <v>41580</v>
      </c>
      <c r="F16" s="27">
        <v>21140</v>
      </c>
      <c r="G16" s="27">
        <v>37240</v>
      </c>
      <c r="H16" s="27">
        <v>17150</v>
      </c>
      <c r="I16" s="124"/>
    </row>
    <row r="17" spans="1:9" ht="18.75" hidden="1" customHeight="1" x14ac:dyDescent="0.25">
      <c r="A17" s="28"/>
      <c r="B17" s="28" t="s">
        <v>7</v>
      </c>
      <c r="C17" s="27">
        <v>30800</v>
      </c>
      <c r="D17" s="27">
        <v>29610</v>
      </c>
      <c r="E17" s="27">
        <v>40180</v>
      </c>
      <c r="F17" s="27">
        <v>34300</v>
      </c>
      <c r="G17" s="27">
        <v>35840</v>
      </c>
      <c r="H17" s="27">
        <v>30310</v>
      </c>
      <c r="I17" s="124"/>
    </row>
    <row r="18" spans="1:9" ht="17.25" customHeight="1" x14ac:dyDescent="0.25">
      <c r="A18" s="28"/>
      <c r="B18" s="28" t="s">
        <v>8</v>
      </c>
      <c r="C18" s="27">
        <v>62160</v>
      </c>
      <c r="D18" s="27">
        <v>31430</v>
      </c>
      <c r="E18" s="27">
        <v>71540</v>
      </c>
      <c r="F18" s="27">
        <v>36120</v>
      </c>
      <c r="G18" s="27">
        <v>67200</v>
      </c>
      <c r="H18" s="27">
        <v>32130</v>
      </c>
      <c r="I18" s="124"/>
    </row>
    <row r="19" spans="1:9" ht="17.25" customHeight="1" x14ac:dyDescent="0.25">
      <c r="A19" s="26">
        <v>3</v>
      </c>
      <c r="B19" s="211" t="s">
        <v>100</v>
      </c>
      <c r="C19" s="212"/>
      <c r="D19" s="212"/>
      <c r="E19" s="212"/>
      <c r="F19" s="212"/>
      <c r="G19" s="212"/>
      <c r="H19" s="213"/>
      <c r="I19" s="124"/>
    </row>
    <row r="20" spans="1:9" ht="20.25" customHeight="1" x14ac:dyDescent="0.25">
      <c r="A20" s="28"/>
      <c r="B20" s="28" t="s">
        <v>101</v>
      </c>
      <c r="C20" s="27">
        <v>35980</v>
      </c>
      <c r="D20" s="27">
        <v>18340</v>
      </c>
      <c r="E20" s="27">
        <v>45360</v>
      </c>
      <c r="F20" s="27">
        <v>23030</v>
      </c>
      <c r="G20" s="27">
        <v>41020</v>
      </c>
      <c r="H20" s="27">
        <v>19040</v>
      </c>
      <c r="I20" s="124"/>
    </row>
    <row r="21" spans="1:9" ht="21" customHeight="1" x14ac:dyDescent="0.25">
      <c r="A21" s="28"/>
      <c r="B21" s="28" t="s">
        <v>102</v>
      </c>
      <c r="C21" s="27">
        <v>34020</v>
      </c>
      <c r="D21" s="27">
        <v>17360</v>
      </c>
      <c r="E21" s="27">
        <v>43400</v>
      </c>
      <c r="F21" s="27">
        <v>22050</v>
      </c>
      <c r="G21" s="27">
        <v>39060</v>
      </c>
      <c r="H21" s="27">
        <v>18060</v>
      </c>
      <c r="I21" s="124"/>
    </row>
    <row r="22" spans="1:9" ht="18.75" hidden="1" customHeight="1" x14ac:dyDescent="0.25">
      <c r="A22" s="28"/>
      <c r="B22" s="28" t="s">
        <v>7</v>
      </c>
      <c r="C22" s="27">
        <v>32620</v>
      </c>
      <c r="D22" s="27">
        <v>31430</v>
      </c>
      <c r="E22" s="27">
        <v>42000</v>
      </c>
      <c r="F22" s="27">
        <v>36120</v>
      </c>
      <c r="G22" s="27">
        <v>37660</v>
      </c>
      <c r="H22" s="27">
        <v>32130</v>
      </c>
      <c r="I22" s="124"/>
    </row>
    <row r="23" spans="1:9" ht="21" customHeight="1" x14ac:dyDescent="0.25">
      <c r="A23" s="28"/>
      <c r="B23" s="28" t="s">
        <v>8</v>
      </c>
      <c r="C23" s="27">
        <v>63980</v>
      </c>
      <c r="D23" s="27">
        <v>32340</v>
      </c>
      <c r="E23" s="27">
        <v>73360</v>
      </c>
      <c r="F23" s="27">
        <v>37030</v>
      </c>
      <c r="G23" s="27">
        <v>69020</v>
      </c>
      <c r="H23" s="27">
        <v>33040</v>
      </c>
      <c r="I23" s="124"/>
    </row>
    <row r="24" spans="1:9" ht="15" customHeight="1" x14ac:dyDescent="0.25">
      <c r="A24" s="32"/>
      <c r="B24" s="32"/>
      <c r="C24" s="42"/>
      <c r="D24" s="42"/>
      <c r="E24" s="42"/>
      <c r="F24" s="42"/>
      <c r="G24" s="42"/>
      <c r="H24" s="42"/>
      <c r="I24" s="42"/>
    </row>
    <row r="25" spans="1:9" ht="15" customHeight="1" x14ac:dyDescent="0.25">
      <c r="A25" s="18"/>
      <c r="B25" s="214" t="s">
        <v>103</v>
      </c>
      <c r="C25" s="214"/>
      <c r="D25" s="214"/>
      <c r="E25" s="214"/>
      <c r="F25" s="214"/>
      <c r="G25" s="214"/>
      <c r="H25" s="214"/>
      <c r="I25" s="18"/>
    </row>
    <row r="26" spans="1:9" ht="15" customHeight="1" x14ac:dyDescent="0.25">
      <c r="A26" s="18"/>
      <c r="B26" s="214" t="s">
        <v>104</v>
      </c>
      <c r="C26" s="214"/>
      <c r="D26" s="214"/>
      <c r="E26" s="214"/>
      <c r="F26" s="214"/>
      <c r="G26" s="214"/>
      <c r="H26" s="214"/>
      <c r="I26" s="18"/>
    </row>
    <row r="27" spans="1:9" ht="15" customHeight="1" x14ac:dyDescent="0.25">
      <c r="A27" s="18"/>
      <c r="B27" s="214" t="s">
        <v>105</v>
      </c>
      <c r="C27" s="214"/>
      <c r="D27" s="214"/>
      <c r="E27" s="214"/>
      <c r="F27" s="214"/>
      <c r="G27" s="214"/>
      <c r="H27" s="214"/>
      <c r="I27" s="20"/>
    </row>
    <row r="28" spans="1:9" ht="15" customHeight="1" x14ac:dyDescent="0.25">
      <c r="A28" s="18"/>
      <c r="B28" s="214" t="s">
        <v>106</v>
      </c>
      <c r="C28" s="214"/>
      <c r="D28" s="214"/>
      <c r="E28" s="214"/>
      <c r="F28" s="214"/>
      <c r="G28" s="214"/>
      <c r="H28" s="214"/>
      <c r="I28" s="18"/>
    </row>
    <row r="29" spans="1:9" ht="15" customHeight="1" x14ac:dyDescent="0.25">
      <c r="A29" s="19"/>
      <c r="B29" s="214" t="s">
        <v>107</v>
      </c>
      <c r="C29" s="214"/>
      <c r="D29" s="214"/>
      <c r="E29" s="214"/>
      <c r="F29" s="214"/>
      <c r="G29" s="214"/>
      <c r="H29" s="214"/>
      <c r="I29" s="19"/>
    </row>
    <row r="30" spans="1:9" ht="15" customHeight="1" x14ac:dyDescent="0.25">
      <c r="A30" s="20"/>
      <c r="B30" s="214" t="s">
        <v>108</v>
      </c>
      <c r="C30" s="214"/>
      <c r="D30" s="214"/>
      <c r="E30" s="214"/>
      <c r="F30" s="214"/>
      <c r="G30" s="214"/>
      <c r="H30" s="214"/>
      <c r="I30" s="20"/>
    </row>
    <row r="31" spans="1:9" x14ac:dyDescent="0.25">
      <c r="A31" s="126"/>
      <c r="B31" s="126"/>
      <c r="C31" s="126"/>
      <c r="D31" s="126"/>
      <c r="E31" s="126"/>
      <c r="F31" s="126"/>
      <c r="G31" s="125"/>
      <c r="H31" s="11"/>
      <c r="I31" s="23"/>
    </row>
  </sheetData>
  <mergeCells count="19">
    <mergeCell ref="B26:H26"/>
    <mergeCell ref="B27:H27"/>
    <mergeCell ref="B28:H28"/>
    <mergeCell ref="B29:H29"/>
    <mergeCell ref="B30:H30"/>
    <mergeCell ref="A6:A8"/>
    <mergeCell ref="B6:B8"/>
    <mergeCell ref="A5:H5"/>
    <mergeCell ref="A1:H1"/>
    <mergeCell ref="A2:H2"/>
    <mergeCell ref="A3:H3"/>
    <mergeCell ref="C6:D7"/>
    <mergeCell ref="E6:F7"/>
    <mergeCell ref="G6:H7"/>
    <mergeCell ref="J4:L4"/>
    <mergeCell ref="B9:H9"/>
    <mergeCell ref="B14:H14"/>
    <mergeCell ref="B19:H19"/>
    <mergeCell ref="B25:H25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0"/>
  <sheetViews>
    <sheetView view="pageBreakPreview" topLeftCell="A40" zoomScale="60" workbookViewId="0">
      <selection activeCell="B27" sqref="B27"/>
    </sheetView>
  </sheetViews>
  <sheetFormatPr defaultRowHeight="15" x14ac:dyDescent="0.25"/>
  <cols>
    <col min="1" max="1" width="6.85546875" customWidth="1"/>
    <col min="2" max="2" width="44.85546875" customWidth="1"/>
    <col min="3" max="3" width="12" customWidth="1"/>
    <col min="4" max="4" width="10" customWidth="1"/>
    <col min="5" max="5" width="9.7109375" customWidth="1"/>
    <col min="6" max="6" width="10.85546875" customWidth="1"/>
    <col min="8" max="8" width="11.5703125" customWidth="1"/>
  </cols>
  <sheetData>
    <row r="1" spans="1:13" ht="15.75" x14ac:dyDescent="0.25">
      <c r="A1" s="129"/>
      <c r="B1" s="129"/>
      <c r="C1" s="129"/>
      <c r="D1" s="129"/>
      <c r="E1" s="129"/>
      <c r="F1" s="157"/>
      <c r="G1" s="157"/>
      <c r="H1" s="157"/>
      <c r="I1" s="3"/>
      <c r="J1" s="3"/>
      <c r="K1" s="3"/>
      <c r="L1" s="3"/>
      <c r="M1" s="3"/>
    </row>
    <row r="2" spans="1:13" x14ac:dyDescent="0.25">
      <c r="A2" s="131" t="s">
        <v>3</v>
      </c>
      <c r="B2" s="133" t="s">
        <v>21</v>
      </c>
      <c r="C2" s="130"/>
      <c r="D2" s="130"/>
      <c r="E2" s="130"/>
      <c r="F2" s="9"/>
      <c r="G2" s="9"/>
      <c r="H2" s="9"/>
      <c r="I2" s="9"/>
      <c r="J2" s="3"/>
    </row>
    <row r="3" spans="1:13" x14ac:dyDescent="0.25">
      <c r="A3" s="132"/>
      <c r="B3" s="134"/>
      <c r="C3" s="10" t="s">
        <v>22</v>
      </c>
      <c r="D3" s="10" t="s">
        <v>23</v>
      </c>
      <c r="E3" s="10" t="s">
        <v>24</v>
      </c>
      <c r="F3" s="4"/>
      <c r="G3" s="4"/>
      <c r="H3" s="3"/>
      <c r="I3" s="3"/>
      <c r="J3" s="3"/>
    </row>
    <row r="4" spans="1:13" s="56" customFormat="1" x14ac:dyDescent="0.25">
      <c r="A4" s="57">
        <v>1</v>
      </c>
      <c r="B4" s="57" t="s">
        <v>43</v>
      </c>
      <c r="C4" s="58"/>
      <c r="D4" s="58"/>
      <c r="E4" s="58"/>
      <c r="F4" s="55"/>
      <c r="G4" s="59"/>
      <c r="H4" s="55"/>
      <c r="I4" s="55"/>
      <c r="J4" s="55"/>
    </row>
    <row r="5" spans="1:13" s="56" customFormat="1" x14ac:dyDescent="0.25">
      <c r="A5" s="50"/>
      <c r="B5" s="50" t="s">
        <v>47</v>
      </c>
      <c r="C5" s="51">
        <f>134*1.15</f>
        <v>154.1</v>
      </c>
      <c r="D5" s="50">
        <v>3</v>
      </c>
      <c r="E5" s="51">
        <f>C5*D5</f>
        <v>462.29999999999995</v>
      </c>
      <c r="F5" s="55"/>
      <c r="G5" s="55"/>
      <c r="H5" s="55"/>
      <c r="I5" s="55"/>
      <c r="J5" s="55"/>
    </row>
    <row r="6" spans="1:13" s="56" customFormat="1" x14ac:dyDescent="0.25">
      <c r="A6" s="50"/>
      <c r="B6" s="50" t="s">
        <v>48</v>
      </c>
      <c r="C6" s="51">
        <f>71*1.15</f>
        <v>81.649999999999991</v>
      </c>
      <c r="D6" s="50">
        <v>3</v>
      </c>
      <c r="E6" s="51">
        <f t="shared" ref="E6:E7" si="0">C6*D6</f>
        <v>244.95</v>
      </c>
      <c r="F6" s="55"/>
      <c r="G6" s="55"/>
      <c r="H6" s="55"/>
      <c r="I6" s="55"/>
      <c r="J6" s="55"/>
    </row>
    <row r="7" spans="1:13" s="56" customFormat="1" x14ac:dyDescent="0.25">
      <c r="A7" s="50"/>
      <c r="B7" s="122" t="s">
        <v>49</v>
      </c>
      <c r="C7" s="123">
        <f>88*1.15</f>
        <v>101.19999999999999</v>
      </c>
      <c r="D7" s="122">
        <v>3</v>
      </c>
      <c r="E7" s="123">
        <f t="shared" si="0"/>
        <v>303.59999999999997</v>
      </c>
      <c r="F7" s="55"/>
      <c r="G7" s="55"/>
      <c r="H7" s="55"/>
      <c r="I7" s="55"/>
      <c r="J7" s="55"/>
    </row>
    <row r="8" spans="1:13" s="56" customFormat="1" x14ac:dyDescent="0.25">
      <c r="A8" s="50"/>
      <c r="B8" s="50" t="s">
        <v>84</v>
      </c>
      <c r="C8" s="51"/>
      <c r="D8" s="50"/>
      <c r="E8" s="51">
        <f>SUM(E5:E7)</f>
        <v>1010.8499999999999</v>
      </c>
      <c r="F8" s="55"/>
      <c r="G8" s="55"/>
      <c r="H8" s="55"/>
      <c r="I8" s="55"/>
      <c r="J8" s="55"/>
    </row>
    <row r="9" spans="1:13" s="56" customFormat="1" x14ac:dyDescent="0.25">
      <c r="A9" s="50"/>
      <c r="B9" s="50" t="s">
        <v>26</v>
      </c>
      <c r="C9" s="51"/>
      <c r="D9" s="50"/>
      <c r="E9" s="51">
        <f>E8*0.05</f>
        <v>50.542499999999997</v>
      </c>
      <c r="F9" s="55"/>
      <c r="G9" s="55"/>
      <c r="H9" s="55"/>
      <c r="I9" s="55"/>
      <c r="J9" s="55"/>
    </row>
    <row r="10" spans="1:13" s="56" customFormat="1" x14ac:dyDescent="0.25">
      <c r="A10" s="50"/>
      <c r="B10" s="50" t="s">
        <v>27</v>
      </c>
      <c r="C10" s="51"/>
      <c r="D10" s="50"/>
      <c r="E10" s="51">
        <f>E8*0.16</f>
        <v>161.73599999999999</v>
      </c>
      <c r="F10" s="55"/>
      <c r="G10" s="55"/>
      <c r="H10" s="55"/>
      <c r="I10" s="55"/>
      <c r="J10" s="55"/>
    </row>
    <row r="11" spans="1:13" s="56" customFormat="1" x14ac:dyDescent="0.25">
      <c r="A11" s="58"/>
      <c r="B11" s="57" t="s">
        <v>85</v>
      </c>
      <c r="C11" s="60"/>
      <c r="D11" s="57"/>
      <c r="E11" s="60"/>
      <c r="F11" s="61"/>
      <c r="G11" s="61"/>
      <c r="H11" s="62"/>
      <c r="I11" s="55"/>
      <c r="J11" s="55"/>
    </row>
    <row r="12" spans="1:13" s="56" customFormat="1" x14ac:dyDescent="0.25">
      <c r="A12" s="58"/>
      <c r="B12" s="57" t="s">
        <v>28</v>
      </c>
      <c r="C12" s="60"/>
      <c r="D12" s="57"/>
      <c r="E12" s="60">
        <f>E8+E9+7</f>
        <v>1068.3924999999999</v>
      </c>
      <c r="F12" s="55"/>
      <c r="G12" s="55"/>
      <c r="H12" s="62"/>
      <c r="I12" s="55"/>
      <c r="J12" s="55"/>
    </row>
    <row r="13" spans="1:13" s="56" customFormat="1" x14ac:dyDescent="0.25">
      <c r="A13" s="58"/>
      <c r="B13" s="57" t="s">
        <v>29</v>
      </c>
      <c r="C13" s="60"/>
      <c r="D13" s="57"/>
      <c r="E13" s="60">
        <f>E10+E8</f>
        <v>1172.5859999999998</v>
      </c>
      <c r="F13" s="55"/>
      <c r="G13" s="55"/>
      <c r="H13" s="62"/>
      <c r="I13" s="55"/>
      <c r="J13" s="55"/>
    </row>
    <row r="14" spans="1:13" s="56" customFormat="1" x14ac:dyDescent="0.25">
      <c r="A14" s="63">
        <v>2</v>
      </c>
      <c r="B14" s="63" t="s">
        <v>44</v>
      </c>
      <c r="C14" s="65"/>
      <c r="D14" s="64"/>
      <c r="E14" s="65"/>
      <c r="F14" s="55"/>
      <c r="G14" s="55"/>
      <c r="H14" s="62"/>
      <c r="I14" s="55"/>
      <c r="J14" s="55"/>
    </row>
    <row r="15" spans="1:13" s="56" customFormat="1" x14ac:dyDescent="0.25">
      <c r="A15" s="50"/>
      <c r="B15" s="122" t="s">
        <v>50</v>
      </c>
      <c r="C15" s="123">
        <f>943.35*1.15</f>
        <v>1084.8525</v>
      </c>
      <c r="D15" s="122">
        <v>2</v>
      </c>
      <c r="E15" s="123">
        <f>C15*D15</f>
        <v>2169.7049999999999</v>
      </c>
      <c r="F15" s="55"/>
      <c r="G15" s="55"/>
      <c r="H15" s="62"/>
      <c r="I15" s="55"/>
      <c r="J15" s="55"/>
    </row>
    <row r="16" spans="1:13" s="56" customFormat="1" x14ac:dyDescent="0.25">
      <c r="A16" s="50"/>
      <c r="B16" s="50" t="s">
        <v>51</v>
      </c>
      <c r="C16" s="51">
        <f>199*1.15</f>
        <v>228.85</v>
      </c>
      <c r="D16" s="50">
        <v>3</v>
      </c>
      <c r="E16" s="51">
        <f t="shared" ref="E16:E17" si="1">C16*D16</f>
        <v>686.55</v>
      </c>
      <c r="F16" s="55"/>
      <c r="G16" s="55"/>
      <c r="H16" s="62"/>
      <c r="I16" s="55"/>
      <c r="J16" s="55"/>
    </row>
    <row r="17" spans="1:10" x14ac:dyDescent="0.25">
      <c r="A17" s="50"/>
      <c r="B17" s="50" t="s">
        <v>52</v>
      </c>
      <c r="C17" s="51">
        <f>85.73*1.15</f>
        <v>98.589500000000001</v>
      </c>
      <c r="D17" s="50">
        <v>3</v>
      </c>
      <c r="E17" s="51">
        <f t="shared" si="1"/>
        <v>295.76850000000002</v>
      </c>
      <c r="F17" s="3"/>
      <c r="G17" s="3"/>
      <c r="H17" s="9"/>
      <c r="I17" s="3"/>
      <c r="J17" s="3"/>
    </row>
    <row r="18" spans="1:10" s="56" customFormat="1" x14ac:dyDescent="0.25">
      <c r="A18" s="50"/>
      <c r="B18" s="50" t="s">
        <v>84</v>
      </c>
      <c r="C18" s="50"/>
      <c r="D18" s="50"/>
      <c r="E18" s="51">
        <f>SUM(E15:E17)</f>
        <v>3152.0235000000002</v>
      </c>
      <c r="F18" s="55"/>
      <c r="G18" s="55"/>
      <c r="H18" s="62"/>
      <c r="I18" s="55"/>
      <c r="J18" s="55"/>
    </row>
    <row r="19" spans="1:10" s="56" customFormat="1" x14ac:dyDescent="0.25">
      <c r="A19" s="50"/>
      <c r="B19" s="50" t="s">
        <v>26</v>
      </c>
      <c r="C19" s="50"/>
      <c r="D19" s="50"/>
      <c r="E19" s="51">
        <f>E18*0.05</f>
        <v>157.60117500000001</v>
      </c>
      <c r="F19" s="55"/>
      <c r="G19" s="55"/>
      <c r="H19" s="62"/>
      <c r="I19" s="55"/>
      <c r="J19" s="55"/>
    </row>
    <row r="20" spans="1:10" s="56" customFormat="1" x14ac:dyDescent="0.25">
      <c r="A20" s="50"/>
      <c r="B20" s="50" t="s">
        <v>27</v>
      </c>
      <c r="C20" s="50"/>
      <c r="D20" s="50"/>
      <c r="E20" s="51">
        <f>E18*0.16</f>
        <v>504.32376000000005</v>
      </c>
      <c r="F20" s="55"/>
      <c r="G20" s="55"/>
      <c r="H20" s="62"/>
      <c r="I20" s="55"/>
      <c r="J20" s="55"/>
    </row>
    <row r="21" spans="1:10" s="56" customFormat="1" x14ac:dyDescent="0.25">
      <c r="A21" s="64"/>
      <c r="B21" s="63" t="s">
        <v>85</v>
      </c>
      <c r="C21" s="64"/>
      <c r="D21" s="64"/>
      <c r="E21" s="65"/>
      <c r="F21" s="55"/>
      <c r="G21" s="55"/>
      <c r="H21" s="62"/>
      <c r="I21" s="55"/>
      <c r="J21" s="55"/>
    </row>
    <row r="22" spans="1:10" s="56" customFormat="1" x14ac:dyDescent="0.25">
      <c r="A22" s="64"/>
      <c r="B22" s="63" t="s">
        <v>28</v>
      </c>
      <c r="C22" s="63"/>
      <c r="D22" s="63"/>
      <c r="E22" s="66">
        <f>E18+E19+2</f>
        <v>3311.624675</v>
      </c>
      <c r="F22" s="67"/>
      <c r="G22" s="55"/>
      <c r="H22" s="62"/>
      <c r="I22" s="55"/>
      <c r="J22" s="55"/>
    </row>
    <row r="23" spans="1:10" s="56" customFormat="1" x14ac:dyDescent="0.25">
      <c r="A23" s="64"/>
      <c r="B23" s="63" t="s">
        <v>29</v>
      </c>
      <c r="C23" s="63"/>
      <c r="D23" s="63"/>
      <c r="E23" s="66">
        <f>E18+E20+1</f>
        <v>3657.3472600000005</v>
      </c>
      <c r="F23" s="67"/>
      <c r="G23" s="55"/>
      <c r="H23" s="62"/>
      <c r="I23" s="55"/>
      <c r="J23" s="55"/>
    </row>
    <row r="24" spans="1:10" s="56" customFormat="1" x14ac:dyDescent="0.25">
      <c r="A24" s="68">
        <v>3</v>
      </c>
      <c r="B24" s="68" t="s">
        <v>45</v>
      </c>
      <c r="C24" s="68"/>
      <c r="D24" s="68"/>
      <c r="E24" s="69"/>
      <c r="F24" s="55"/>
      <c r="G24" s="55"/>
      <c r="H24" s="62"/>
      <c r="I24" s="55"/>
      <c r="J24" s="55"/>
    </row>
    <row r="25" spans="1:10" s="56" customFormat="1" x14ac:dyDescent="0.25">
      <c r="A25" s="50"/>
      <c r="B25" s="50" t="s">
        <v>51</v>
      </c>
      <c r="C25" s="51">
        <f>199*1.15</f>
        <v>228.85</v>
      </c>
      <c r="D25" s="50">
        <v>3</v>
      </c>
      <c r="E25" s="51">
        <f t="shared" ref="E25:E26" si="2">C25*D25</f>
        <v>686.55</v>
      </c>
      <c r="F25" s="55"/>
      <c r="G25" s="55"/>
      <c r="H25" s="62"/>
      <c r="I25" s="55"/>
      <c r="J25" s="55"/>
    </row>
    <row r="26" spans="1:10" s="56" customFormat="1" x14ac:dyDescent="0.25">
      <c r="A26" s="50"/>
      <c r="B26" s="50" t="s">
        <v>52</v>
      </c>
      <c r="C26" s="51">
        <f>85.73*1.15</f>
        <v>98.589500000000001</v>
      </c>
      <c r="D26" s="50">
        <v>3</v>
      </c>
      <c r="E26" s="51">
        <f t="shared" si="2"/>
        <v>295.76850000000002</v>
      </c>
      <c r="F26" s="61"/>
      <c r="G26" s="61"/>
      <c r="H26" s="62"/>
      <c r="I26" s="55"/>
      <c r="J26" s="55"/>
    </row>
    <row r="27" spans="1:10" s="56" customFormat="1" x14ac:dyDescent="0.25">
      <c r="A27" s="50"/>
      <c r="B27" s="50" t="s">
        <v>53</v>
      </c>
      <c r="C27" s="51">
        <f>358.6*1.15</f>
        <v>412.39</v>
      </c>
      <c r="D27" s="50">
        <v>3</v>
      </c>
      <c r="E27" s="51">
        <f t="shared" ref="E27" si="3">C27*D27</f>
        <v>1237.17</v>
      </c>
      <c r="F27" s="61"/>
      <c r="G27" s="61"/>
      <c r="H27" s="62"/>
      <c r="I27" s="55"/>
      <c r="J27" s="55"/>
    </row>
    <row r="28" spans="1:10" s="56" customFormat="1" x14ac:dyDescent="0.25">
      <c r="A28" s="50"/>
      <c r="B28" s="50" t="s">
        <v>84</v>
      </c>
      <c r="C28" s="50"/>
      <c r="D28" s="50"/>
      <c r="E28" s="51">
        <f>SUM(E25:E27)</f>
        <v>2219.4884999999999</v>
      </c>
      <c r="F28" s="55"/>
      <c r="G28" s="55"/>
      <c r="H28" s="55"/>
      <c r="I28" s="55"/>
      <c r="J28" s="55"/>
    </row>
    <row r="29" spans="1:10" s="56" customFormat="1" x14ac:dyDescent="0.25">
      <c r="A29" s="50"/>
      <c r="B29" s="50" t="s">
        <v>26</v>
      </c>
      <c r="C29" s="50"/>
      <c r="D29" s="50"/>
      <c r="E29" s="51">
        <f>E28*0.05</f>
        <v>110.974425</v>
      </c>
      <c r="F29" s="55"/>
      <c r="G29" s="55"/>
      <c r="H29" s="55"/>
      <c r="I29" s="55"/>
      <c r="J29" s="55"/>
    </row>
    <row r="30" spans="1:10" s="56" customFormat="1" x14ac:dyDescent="0.25">
      <c r="A30" s="50"/>
      <c r="B30" s="50" t="s">
        <v>27</v>
      </c>
      <c r="C30" s="50"/>
      <c r="D30" s="50"/>
      <c r="E30" s="51">
        <f>E28*0.16</f>
        <v>355.11815999999999</v>
      </c>
      <c r="F30" s="55"/>
      <c r="G30" s="55"/>
      <c r="H30" s="55"/>
      <c r="I30" s="55"/>
      <c r="J30" s="55"/>
    </row>
    <row r="31" spans="1:10" s="56" customFormat="1" x14ac:dyDescent="0.25">
      <c r="A31" s="70"/>
      <c r="B31" s="68" t="s">
        <v>85</v>
      </c>
      <c r="C31" s="70"/>
      <c r="D31" s="70"/>
      <c r="E31" s="71"/>
      <c r="F31" s="55"/>
      <c r="G31" s="55"/>
      <c r="H31" s="55"/>
      <c r="I31" s="55"/>
      <c r="J31" s="55"/>
    </row>
    <row r="32" spans="1:10" s="56" customFormat="1" x14ac:dyDescent="0.25">
      <c r="A32" s="70"/>
      <c r="B32" s="68" t="s">
        <v>28</v>
      </c>
      <c r="C32" s="68"/>
      <c r="D32" s="68"/>
      <c r="E32" s="69">
        <f>E28+E29+4</f>
        <v>2334.4629249999998</v>
      </c>
      <c r="F32" s="55"/>
      <c r="G32" s="55"/>
      <c r="H32" s="55"/>
      <c r="I32" s="55"/>
      <c r="J32" s="55"/>
    </row>
    <row r="33" spans="1:10" s="56" customFormat="1" x14ac:dyDescent="0.25">
      <c r="A33" s="70"/>
      <c r="B33" s="68" t="s">
        <v>29</v>
      </c>
      <c r="C33" s="68"/>
      <c r="D33" s="68"/>
      <c r="E33" s="69">
        <f>E28+E30+1</f>
        <v>2575.6066599999999</v>
      </c>
      <c r="F33" s="55"/>
      <c r="G33" s="55"/>
      <c r="H33" s="55"/>
      <c r="I33" s="55"/>
      <c r="J33" s="55"/>
    </row>
    <row r="34" spans="1:10" s="56" customFormat="1" x14ac:dyDescent="0.25">
      <c r="A34" s="72">
        <v>4</v>
      </c>
      <c r="B34" s="72" t="s">
        <v>46</v>
      </c>
      <c r="C34" s="72"/>
      <c r="D34" s="72"/>
      <c r="E34" s="73"/>
      <c r="F34" s="55"/>
      <c r="G34" s="55"/>
      <c r="H34" s="55"/>
      <c r="I34" s="55"/>
      <c r="J34" s="55"/>
    </row>
    <row r="35" spans="1:10" s="56" customFormat="1" x14ac:dyDescent="0.25">
      <c r="A35" s="50"/>
      <c r="B35" s="50" t="s">
        <v>54</v>
      </c>
      <c r="C35" s="51">
        <f>178.58*1.15</f>
        <v>205.36699999999999</v>
      </c>
      <c r="D35" s="50">
        <v>6</v>
      </c>
      <c r="E35" s="51">
        <f>C35*D35</f>
        <v>1232.202</v>
      </c>
      <c r="F35" s="55"/>
      <c r="G35" s="55"/>
      <c r="H35" s="55"/>
      <c r="I35" s="55"/>
      <c r="J35" s="55"/>
    </row>
    <row r="36" spans="1:10" s="56" customFormat="1" x14ac:dyDescent="0.25">
      <c r="A36" s="50"/>
      <c r="B36" s="50" t="s">
        <v>55</v>
      </c>
      <c r="C36" s="51">
        <f>86.42*1.15</f>
        <v>99.382999999999996</v>
      </c>
      <c r="D36" s="50">
        <v>6</v>
      </c>
      <c r="E36" s="51">
        <f t="shared" ref="E36" si="4">C36*D36</f>
        <v>596.298</v>
      </c>
      <c r="F36" s="55"/>
      <c r="G36" s="55"/>
      <c r="H36" s="55"/>
      <c r="I36" s="55"/>
      <c r="J36" s="55"/>
    </row>
    <row r="37" spans="1:10" s="56" customFormat="1" x14ac:dyDescent="0.25">
      <c r="A37" s="50"/>
      <c r="B37" s="50" t="s">
        <v>84</v>
      </c>
      <c r="C37" s="50"/>
      <c r="D37" s="50"/>
      <c r="E37" s="51">
        <f>E35+E36</f>
        <v>1828.5</v>
      </c>
      <c r="F37" s="55"/>
      <c r="G37" s="75"/>
      <c r="H37" s="55"/>
      <c r="I37" s="55"/>
      <c r="J37" s="55"/>
    </row>
    <row r="38" spans="1:10" s="56" customFormat="1" x14ac:dyDescent="0.25">
      <c r="A38" s="50"/>
      <c r="B38" s="50" t="s">
        <v>26</v>
      </c>
      <c r="C38" s="50"/>
      <c r="D38" s="50"/>
      <c r="E38" s="51">
        <f>E37*0.05</f>
        <v>91.425000000000011</v>
      </c>
      <c r="F38" s="55"/>
      <c r="G38" s="55"/>
      <c r="H38" s="55"/>
      <c r="I38" s="55"/>
      <c r="J38" s="55"/>
    </row>
    <row r="39" spans="1:10" s="56" customFormat="1" x14ac:dyDescent="0.25">
      <c r="A39" s="50"/>
      <c r="B39" s="50" t="s">
        <v>27</v>
      </c>
      <c r="C39" s="50"/>
      <c r="D39" s="50"/>
      <c r="E39" s="51">
        <f>E37*0.16</f>
        <v>292.56</v>
      </c>
      <c r="F39" s="61"/>
      <c r="G39" s="61"/>
      <c r="H39" s="62"/>
      <c r="I39" s="55"/>
      <c r="J39" s="55"/>
    </row>
    <row r="40" spans="1:10" s="56" customFormat="1" x14ac:dyDescent="0.25">
      <c r="A40" s="76"/>
      <c r="B40" s="72" t="s">
        <v>85</v>
      </c>
      <c r="C40" s="76"/>
      <c r="D40" s="76"/>
      <c r="E40" s="77"/>
      <c r="F40" s="55"/>
      <c r="G40" s="55"/>
      <c r="H40" s="55"/>
      <c r="I40" s="55"/>
      <c r="J40" s="55"/>
    </row>
    <row r="41" spans="1:10" s="56" customFormat="1" x14ac:dyDescent="0.25">
      <c r="A41" s="76"/>
      <c r="B41" s="72" t="s">
        <v>28</v>
      </c>
      <c r="C41" s="72"/>
      <c r="D41" s="72"/>
      <c r="E41" s="73">
        <f>E37+E38</f>
        <v>1919.925</v>
      </c>
      <c r="F41" s="55"/>
      <c r="G41" s="55"/>
      <c r="H41" s="55"/>
      <c r="I41" s="55"/>
      <c r="J41" s="55"/>
    </row>
    <row r="42" spans="1:10" s="56" customFormat="1" x14ac:dyDescent="0.25">
      <c r="A42" s="76"/>
      <c r="B42" s="72" t="s">
        <v>29</v>
      </c>
      <c r="C42" s="72"/>
      <c r="D42" s="72"/>
      <c r="E42" s="73">
        <f>E37+E39+6</f>
        <v>2127.06</v>
      </c>
      <c r="F42" s="67"/>
      <c r="G42" s="55"/>
      <c r="H42" s="55"/>
      <c r="I42" s="55"/>
      <c r="J42" s="55"/>
    </row>
    <row r="43" spans="1:10" x14ac:dyDescent="0.25">
      <c r="A43" s="78">
        <v>5</v>
      </c>
      <c r="B43" s="78" t="s">
        <v>61</v>
      </c>
      <c r="C43" s="78"/>
      <c r="D43" s="78"/>
      <c r="E43" s="79"/>
      <c r="F43" s="5" t="s">
        <v>56</v>
      </c>
      <c r="G43" s="3"/>
      <c r="H43" s="3"/>
      <c r="I43" s="3"/>
      <c r="J43" s="3"/>
    </row>
    <row r="44" spans="1:10" s="56" customFormat="1" x14ac:dyDescent="0.25">
      <c r="A44" s="50"/>
      <c r="B44" s="50" t="s">
        <v>57</v>
      </c>
      <c r="C44" s="51">
        <f>142.35*1.15</f>
        <v>163.70249999999999</v>
      </c>
      <c r="D44" s="50">
        <v>6</v>
      </c>
      <c r="E44" s="51">
        <f>C44*D44</f>
        <v>982.21499999999992</v>
      </c>
      <c r="F44" s="55"/>
      <c r="G44" s="55"/>
      <c r="H44" s="55"/>
      <c r="I44" s="55"/>
      <c r="J44" s="55"/>
    </row>
    <row r="45" spans="1:10" x14ac:dyDescent="0.25">
      <c r="A45" s="50"/>
      <c r="B45" s="122" t="s">
        <v>58</v>
      </c>
      <c r="C45" s="123">
        <f>88*1.15</f>
        <v>101.19999999999999</v>
      </c>
      <c r="D45" s="122">
        <v>6</v>
      </c>
      <c r="E45" s="123">
        <f t="shared" ref="E45" si="5">C45*D45</f>
        <v>607.19999999999993</v>
      </c>
      <c r="F45" s="5"/>
      <c r="G45" s="3"/>
      <c r="H45" s="3"/>
      <c r="I45" s="3"/>
      <c r="J45" s="3"/>
    </row>
    <row r="46" spans="1:10" x14ac:dyDescent="0.25">
      <c r="A46" s="50"/>
      <c r="B46" s="50" t="s">
        <v>84</v>
      </c>
      <c r="C46" s="50"/>
      <c r="D46" s="50"/>
      <c r="E46" s="51">
        <f>E44+E45</f>
        <v>1589.415</v>
      </c>
      <c r="F46" s="5"/>
      <c r="G46" s="3"/>
      <c r="H46" s="3"/>
      <c r="I46" s="3"/>
      <c r="J46" s="3"/>
    </row>
    <row r="47" spans="1:10" x14ac:dyDescent="0.25">
      <c r="A47" s="50"/>
      <c r="B47" s="50" t="s">
        <v>26</v>
      </c>
      <c r="C47" s="50"/>
      <c r="D47" s="50"/>
      <c r="E47" s="51">
        <f>E46*0.05</f>
        <v>79.47075000000001</v>
      </c>
      <c r="F47" s="6"/>
      <c r="G47" s="3"/>
      <c r="H47" s="3"/>
      <c r="I47" s="3"/>
      <c r="J47" s="3"/>
    </row>
    <row r="48" spans="1:10" x14ac:dyDescent="0.25">
      <c r="A48" s="50"/>
      <c r="B48" s="50" t="s">
        <v>27</v>
      </c>
      <c r="C48" s="50"/>
      <c r="D48" s="50"/>
      <c r="E48" s="51">
        <f>E46*0.16</f>
        <v>254.3064</v>
      </c>
      <c r="F48" s="3"/>
      <c r="G48" s="3"/>
      <c r="H48" s="3"/>
      <c r="I48" s="3"/>
      <c r="J48" s="3"/>
    </row>
    <row r="49" spans="1:10" x14ac:dyDescent="0.25">
      <c r="A49" s="80"/>
      <c r="B49" s="78" t="s">
        <v>85</v>
      </c>
      <c r="C49" s="80"/>
      <c r="D49" s="80"/>
      <c r="E49" s="81"/>
      <c r="F49" s="3"/>
      <c r="G49" s="7"/>
      <c r="H49" s="8"/>
      <c r="I49" s="3"/>
      <c r="J49" s="3"/>
    </row>
    <row r="50" spans="1:10" x14ac:dyDescent="0.25">
      <c r="A50" s="80"/>
      <c r="B50" s="78" t="s">
        <v>28</v>
      </c>
      <c r="C50" s="78"/>
      <c r="D50" s="78"/>
      <c r="E50" s="79">
        <f>E46+E47-1</f>
        <v>1667.8857499999999</v>
      </c>
      <c r="F50" s="5"/>
      <c r="G50" s="5"/>
      <c r="H50" s="8"/>
      <c r="I50" s="5"/>
      <c r="J50" s="3"/>
    </row>
    <row r="51" spans="1:10" x14ac:dyDescent="0.25">
      <c r="A51" s="80"/>
      <c r="B51" s="78" t="s">
        <v>29</v>
      </c>
      <c r="C51" s="78"/>
      <c r="D51" s="78"/>
      <c r="E51" s="79">
        <f>E46+E48-3</f>
        <v>1840.7213999999999</v>
      </c>
      <c r="F51" s="5"/>
      <c r="G51" s="5"/>
      <c r="H51" s="8"/>
      <c r="I51" s="5"/>
      <c r="J51" s="3"/>
    </row>
    <row r="52" spans="1:10" x14ac:dyDescent="0.25">
      <c r="A52" s="82">
        <v>6</v>
      </c>
      <c r="B52" s="82" t="s">
        <v>59</v>
      </c>
      <c r="C52" s="82"/>
      <c r="D52" s="82"/>
      <c r="E52" s="83"/>
      <c r="F52" s="5"/>
      <c r="G52" s="5"/>
      <c r="H52" s="8"/>
      <c r="I52" s="5"/>
      <c r="J52" s="3"/>
    </row>
    <row r="53" spans="1:10" x14ac:dyDescent="0.25">
      <c r="A53" s="50"/>
      <c r="B53" s="50" t="s">
        <v>54</v>
      </c>
      <c r="C53" s="51">
        <f>178.58*1.15</f>
        <v>205.36699999999999</v>
      </c>
      <c r="D53" s="50">
        <v>6</v>
      </c>
      <c r="E53" s="51">
        <f>C53*D53</f>
        <v>1232.202</v>
      </c>
    </row>
    <row r="54" spans="1:10" x14ac:dyDescent="0.25">
      <c r="A54" s="50"/>
      <c r="B54" s="50" t="s">
        <v>55</v>
      </c>
      <c r="C54" s="51">
        <f>86.42*1.15</f>
        <v>99.382999999999996</v>
      </c>
      <c r="D54" s="50">
        <v>6</v>
      </c>
      <c r="E54" s="51">
        <f t="shared" ref="E54:E55" si="6">C54*D54</f>
        <v>596.298</v>
      </c>
    </row>
    <row r="55" spans="1:10" x14ac:dyDescent="0.25">
      <c r="A55" s="50"/>
      <c r="B55" s="122" t="s">
        <v>58</v>
      </c>
      <c r="C55" s="123">
        <f>88*1.15</f>
        <v>101.19999999999999</v>
      </c>
      <c r="D55" s="122">
        <v>6</v>
      </c>
      <c r="E55" s="123">
        <f t="shared" si="6"/>
        <v>607.19999999999993</v>
      </c>
    </row>
    <row r="56" spans="1:10" x14ac:dyDescent="0.25">
      <c r="A56" s="50"/>
      <c r="B56" s="50" t="s">
        <v>84</v>
      </c>
      <c r="C56" s="50"/>
      <c r="D56" s="50"/>
      <c r="E56" s="51">
        <f>E53+E54+E55</f>
        <v>2435.6999999999998</v>
      </c>
      <c r="F56" s="49"/>
    </row>
    <row r="57" spans="1:10" x14ac:dyDescent="0.25">
      <c r="A57" s="50"/>
      <c r="B57" s="50" t="s">
        <v>26</v>
      </c>
      <c r="C57" s="50"/>
      <c r="D57" s="50"/>
      <c r="E57" s="51">
        <f>E56*0.05</f>
        <v>121.785</v>
      </c>
    </row>
    <row r="58" spans="1:10" x14ac:dyDescent="0.25">
      <c r="A58" s="50"/>
      <c r="B58" s="50" t="s">
        <v>27</v>
      </c>
      <c r="C58" s="50"/>
      <c r="D58" s="50"/>
      <c r="E58" s="51">
        <f>E56*0.16</f>
        <v>389.71199999999999</v>
      </c>
    </row>
    <row r="59" spans="1:10" x14ac:dyDescent="0.25">
      <c r="A59" s="84"/>
      <c r="B59" s="82" t="s">
        <v>85</v>
      </c>
      <c r="C59" s="84"/>
      <c r="D59" s="84"/>
      <c r="E59" s="85"/>
    </row>
    <row r="60" spans="1:10" x14ac:dyDescent="0.25">
      <c r="A60" s="84"/>
      <c r="B60" s="82" t="s">
        <v>28</v>
      </c>
      <c r="C60" s="82"/>
      <c r="D60" s="82"/>
      <c r="E60" s="83">
        <f>E56+E57+6</f>
        <v>2563.4849999999997</v>
      </c>
    </row>
    <row r="61" spans="1:10" x14ac:dyDescent="0.25">
      <c r="A61" s="84"/>
      <c r="B61" s="82" t="s">
        <v>29</v>
      </c>
      <c r="C61" s="82"/>
      <c r="D61" s="82"/>
      <c r="E61" s="83">
        <f>E56+E58+3</f>
        <v>2828.4119999999998</v>
      </c>
    </row>
    <row r="62" spans="1:10" x14ac:dyDescent="0.25">
      <c r="A62" s="86">
        <v>7</v>
      </c>
      <c r="B62" s="86" t="s">
        <v>62</v>
      </c>
      <c r="C62" s="151"/>
      <c r="D62" s="152"/>
      <c r="E62" s="153"/>
    </row>
    <row r="63" spans="1:10" s="56" customFormat="1" x14ac:dyDescent="0.25">
      <c r="A63" s="50"/>
      <c r="B63" s="50" t="s">
        <v>60</v>
      </c>
      <c r="C63" s="51">
        <f>249.01*1.15</f>
        <v>286.36149999999998</v>
      </c>
      <c r="D63" s="50">
        <v>6</v>
      </c>
      <c r="E63" s="50">
        <f>C63*D63</f>
        <v>1718.1689999999999</v>
      </c>
    </row>
    <row r="64" spans="1:10" s="56" customFormat="1" x14ac:dyDescent="0.25">
      <c r="A64" s="50"/>
      <c r="B64" s="50" t="s">
        <v>47</v>
      </c>
      <c r="C64" s="51">
        <f>134*1.15</f>
        <v>154.1</v>
      </c>
      <c r="D64" s="50">
        <v>6</v>
      </c>
      <c r="E64" s="51">
        <f>C64*D64</f>
        <v>924.59999999999991</v>
      </c>
    </row>
    <row r="65" spans="1:5" s="56" customFormat="1" x14ac:dyDescent="0.25">
      <c r="A65" s="50"/>
      <c r="B65" s="50" t="s">
        <v>84</v>
      </c>
      <c r="C65" s="50"/>
      <c r="D65" s="50"/>
      <c r="E65" s="51">
        <f>E63+E64</f>
        <v>2642.7689999999998</v>
      </c>
    </row>
    <row r="66" spans="1:5" s="56" customFormat="1" x14ac:dyDescent="0.25">
      <c r="A66" s="50"/>
      <c r="B66" s="50" t="s">
        <v>26</v>
      </c>
      <c r="C66" s="50"/>
      <c r="D66" s="50"/>
      <c r="E66" s="51">
        <f>E65*0.05</f>
        <v>132.13845000000001</v>
      </c>
    </row>
    <row r="67" spans="1:5" s="56" customFormat="1" x14ac:dyDescent="0.25">
      <c r="A67" s="50"/>
      <c r="B67" s="50" t="s">
        <v>27</v>
      </c>
      <c r="C67" s="50"/>
      <c r="D67" s="50"/>
      <c r="E67" s="51">
        <f>E65*0.16</f>
        <v>422.84303999999997</v>
      </c>
    </row>
    <row r="68" spans="1:5" s="56" customFormat="1" x14ac:dyDescent="0.25">
      <c r="A68" s="87"/>
      <c r="B68" s="86" t="s">
        <v>85</v>
      </c>
      <c r="C68" s="87"/>
      <c r="D68" s="87"/>
      <c r="E68" s="87"/>
    </row>
    <row r="69" spans="1:5" s="56" customFormat="1" x14ac:dyDescent="0.25">
      <c r="A69" s="87"/>
      <c r="B69" s="86" t="s">
        <v>28</v>
      </c>
      <c r="C69" s="86"/>
      <c r="D69" s="86"/>
      <c r="E69" s="88">
        <f>E65+E66+7</f>
        <v>2781.9074499999997</v>
      </c>
    </row>
    <row r="70" spans="1:5" s="56" customFormat="1" x14ac:dyDescent="0.25">
      <c r="A70" s="87"/>
      <c r="B70" s="86" t="s">
        <v>29</v>
      </c>
      <c r="C70" s="86"/>
      <c r="D70" s="86"/>
      <c r="E70" s="88">
        <f>E65+E67+4</f>
        <v>3069.61204</v>
      </c>
    </row>
    <row r="71" spans="1:5" s="56" customFormat="1" x14ac:dyDescent="0.25">
      <c r="A71" s="53">
        <v>8</v>
      </c>
      <c r="B71" s="53" t="s">
        <v>63</v>
      </c>
      <c r="C71" s="154"/>
      <c r="D71" s="155"/>
      <c r="E71" s="156"/>
    </row>
    <row r="72" spans="1:5" s="56" customFormat="1" x14ac:dyDescent="0.25">
      <c r="A72" s="50"/>
      <c r="B72" s="122" t="s">
        <v>65</v>
      </c>
      <c r="C72" s="123">
        <f>2052.6*1.15</f>
        <v>2360.4899999999998</v>
      </c>
      <c r="D72" s="122">
        <v>2</v>
      </c>
      <c r="E72" s="122">
        <f>C72*D72</f>
        <v>4720.9799999999996</v>
      </c>
    </row>
    <row r="73" spans="1:5" s="56" customFormat="1" x14ac:dyDescent="0.25">
      <c r="A73" s="50"/>
      <c r="B73" s="122" t="s">
        <v>64</v>
      </c>
      <c r="C73" s="123">
        <f>2364*1.15</f>
        <v>2718.6</v>
      </c>
      <c r="D73" s="122">
        <v>3</v>
      </c>
      <c r="E73" s="123">
        <f>C73*D73</f>
        <v>8155.7999999999993</v>
      </c>
    </row>
    <row r="74" spans="1:5" s="56" customFormat="1" x14ac:dyDescent="0.25">
      <c r="A74" s="50"/>
      <c r="B74" s="50" t="s">
        <v>84</v>
      </c>
      <c r="C74" s="51"/>
      <c r="D74" s="50"/>
      <c r="E74" s="50">
        <f>SUM(E71:E73)</f>
        <v>12876.779999999999</v>
      </c>
    </row>
    <row r="75" spans="1:5" s="56" customFormat="1" x14ac:dyDescent="0.25">
      <c r="A75" s="50"/>
      <c r="B75" s="50" t="s">
        <v>26</v>
      </c>
      <c r="C75" s="51"/>
      <c r="D75" s="50"/>
      <c r="E75" s="51">
        <f>E74*0.05</f>
        <v>643.83899999999994</v>
      </c>
    </row>
    <row r="76" spans="1:5" s="56" customFormat="1" x14ac:dyDescent="0.25">
      <c r="A76" s="50"/>
      <c r="B76" s="50" t="s">
        <v>27</v>
      </c>
      <c r="C76" s="51"/>
      <c r="D76" s="50"/>
      <c r="E76" s="51">
        <f>E74*0.16</f>
        <v>2060.2847999999999</v>
      </c>
    </row>
    <row r="77" spans="1:5" s="56" customFormat="1" x14ac:dyDescent="0.25">
      <c r="A77" s="52"/>
      <c r="B77" s="53" t="s">
        <v>85</v>
      </c>
      <c r="C77" s="101"/>
      <c r="D77" s="52"/>
      <c r="E77" s="52"/>
    </row>
    <row r="78" spans="1:5" s="56" customFormat="1" x14ac:dyDescent="0.25">
      <c r="A78" s="52"/>
      <c r="B78" s="53" t="s">
        <v>28</v>
      </c>
      <c r="C78" s="54"/>
      <c r="D78" s="53"/>
      <c r="E78" s="54">
        <f>E74+E75+3</f>
        <v>13523.618999999999</v>
      </c>
    </row>
    <row r="79" spans="1:5" s="56" customFormat="1" x14ac:dyDescent="0.25">
      <c r="A79" s="52"/>
      <c r="B79" s="53" t="s">
        <v>29</v>
      </c>
      <c r="C79" s="54"/>
      <c r="D79" s="53"/>
      <c r="E79" s="54">
        <f>E74+E76+1</f>
        <v>14938.064799999998</v>
      </c>
    </row>
    <row r="80" spans="1:5" s="56" customFormat="1" x14ac:dyDescent="0.25">
      <c r="A80" s="89">
        <v>9</v>
      </c>
      <c r="B80" s="89" t="s">
        <v>66</v>
      </c>
      <c r="C80" s="148"/>
      <c r="D80" s="149"/>
      <c r="E80" s="150"/>
    </row>
    <row r="81" spans="1:5" s="56" customFormat="1" x14ac:dyDescent="0.25">
      <c r="A81" s="50"/>
      <c r="B81" s="122" t="s">
        <v>50</v>
      </c>
      <c r="C81" s="123">
        <f>943.35*1.15</f>
        <v>1084.8525</v>
      </c>
      <c r="D81" s="122">
        <v>7</v>
      </c>
      <c r="E81" s="122">
        <f>C81*D81</f>
        <v>7593.9674999999997</v>
      </c>
    </row>
    <row r="82" spans="1:5" s="56" customFormat="1" x14ac:dyDescent="0.25">
      <c r="A82" s="50"/>
      <c r="B82" s="50" t="s">
        <v>52</v>
      </c>
      <c r="C82" s="51">
        <f>199*1.15</f>
        <v>228.85</v>
      </c>
      <c r="D82" s="50">
        <v>7</v>
      </c>
      <c r="E82" s="50">
        <f t="shared" ref="E82:E84" si="7">C82*D82</f>
        <v>1601.95</v>
      </c>
    </row>
    <row r="83" spans="1:5" s="56" customFormat="1" x14ac:dyDescent="0.25">
      <c r="A83" s="50"/>
      <c r="B83" s="50" t="s">
        <v>51</v>
      </c>
      <c r="C83" s="51">
        <f>85.73*1.15</f>
        <v>98.589500000000001</v>
      </c>
      <c r="D83" s="50">
        <v>7</v>
      </c>
      <c r="E83" s="50">
        <f t="shared" si="7"/>
        <v>690.12649999999996</v>
      </c>
    </row>
    <row r="84" spans="1:5" s="56" customFormat="1" x14ac:dyDescent="0.25">
      <c r="A84" s="50"/>
      <c r="B84" s="122" t="s">
        <v>58</v>
      </c>
      <c r="C84" s="123">
        <f>88*1.15</f>
        <v>101.19999999999999</v>
      </c>
      <c r="D84" s="122">
        <v>5</v>
      </c>
      <c r="E84" s="122">
        <f t="shared" si="7"/>
        <v>505.99999999999994</v>
      </c>
    </row>
    <row r="85" spans="1:5" s="56" customFormat="1" x14ac:dyDescent="0.25">
      <c r="A85" s="50"/>
      <c r="B85" s="50" t="s">
        <v>84</v>
      </c>
      <c r="C85" s="51"/>
      <c r="D85" s="50"/>
      <c r="E85" s="50">
        <f>SUM(E81:E84)</f>
        <v>10392.044</v>
      </c>
    </row>
    <row r="86" spans="1:5" s="56" customFormat="1" x14ac:dyDescent="0.25">
      <c r="A86" s="50"/>
      <c r="B86" s="50" t="s">
        <v>26</v>
      </c>
      <c r="C86" s="51"/>
      <c r="D86" s="50"/>
      <c r="E86" s="51">
        <f>E85*0.05</f>
        <v>519.60220000000004</v>
      </c>
    </row>
    <row r="87" spans="1:5" s="56" customFormat="1" x14ac:dyDescent="0.25">
      <c r="A87" s="50"/>
      <c r="B87" s="50" t="s">
        <v>27</v>
      </c>
      <c r="C87" s="51"/>
      <c r="D87" s="50"/>
      <c r="E87" s="51">
        <f>E85*0.16</f>
        <v>1662.72704</v>
      </c>
    </row>
    <row r="88" spans="1:5" s="56" customFormat="1" x14ac:dyDescent="0.25">
      <c r="A88" s="74"/>
      <c r="B88" s="89" t="s">
        <v>85</v>
      </c>
      <c r="C88" s="74"/>
      <c r="D88" s="74"/>
      <c r="E88" s="74"/>
    </row>
    <row r="89" spans="1:5" s="56" customFormat="1" x14ac:dyDescent="0.25">
      <c r="A89" s="74"/>
      <c r="B89" s="89" t="s">
        <v>28</v>
      </c>
      <c r="C89" s="89"/>
      <c r="D89" s="89"/>
      <c r="E89" s="90">
        <f>E85+E86</f>
        <v>10911.646199999999</v>
      </c>
    </row>
    <row r="90" spans="1:5" s="56" customFormat="1" x14ac:dyDescent="0.25">
      <c r="A90" s="74"/>
      <c r="B90" s="89" t="s">
        <v>29</v>
      </c>
      <c r="C90" s="89"/>
      <c r="D90" s="89"/>
      <c r="E90" s="90">
        <f>E85+E87+5</f>
        <v>12059.77104</v>
      </c>
    </row>
  </sheetData>
  <mergeCells count="7">
    <mergeCell ref="C80:E80"/>
    <mergeCell ref="C62:E62"/>
    <mergeCell ref="C71:E71"/>
    <mergeCell ref="A1:H1"/>
    <mergeCell ref="A2:A3"/>
    <mergeCell ref="B2:B3"/>
    <mergeCell ref="C2:E2"/>
  </mergeCells>
  <pageMargins left="0.7" right="0.7" top="0.75" bottom="0.75" header="0.3" footer="0.3"/>
  <pageSetup paperSize="9" scale="98" orientation="portrait" r:id="rId1"/>
  <rowBreaks count="1" manualBreakCount="1">
    <brk id="51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3"/>
  <sheetViews>
    <sheetView view="pageBreakPreview" topLeftCell="A10" zoomScale="60" zoomScaleNormal="75" workbookViewId="0">
      <selection activeCell="C34" sqref="C34:D34"/>
    </sheetView>
  </sheetViews>
  <sheetFormatPr defaultRowHeight="15" x14ac:dyDescent="0.25"/>
  <cols>
    <col min="1" max="1" width="4.7109375" customWidth="1"/>
    <col min="2" max="2" width="45.7109375" customWidth="1"/>
    <col min="3" max="4" width="8.7109375" customWidth="1"/>
    <col min="5" max="5" width="9.5703125" customWidth="1"/>
    <col min="6" max="8" width="8.7109375" customWidth="1"/>
    <col min="9" max="9" width="9.85546875" customWidth="1"/>
    <col min="10" max="10" width="9.28515625" customWidth="1"/>
    <col min="11" max="14" width="8.7109375" customWidth="1"/>
    <col min="15" max="16" width="13.42578125" customWidth="1"/>
  </cols>
  <sheetData>
    <row r="1" spans="1:17" x14ac:dyDescent="0.25">
      <c r="A1" s="11"/>
      <c r="B1" s="12"/>
      <c r="C1" s="12"/>
      <c r="D1" s="12"/>
      <c r="E1" s="12"/>
      <c r="F1" s="12"/>
      <c r="G1" s="12"/>
      <c r="H1" s="12"/>
      <c r="I1" s="135"/>
      <c r="J1" s="135"/>
      <c r="K1" s="135"/>
      <c r="L1" s="135"/>
      <c r="M1" s="11"/>
      <c r="N1" s="11"/>
      <c r="O1" s="135"/>
      <c r="P1" s="135"/>
      <c r="Q1" s="135"/>
    </row>
    <row r="2" spans="1:17" ht="13.5" customHeight="1" x14ac:dyDescent="0.25">
      <c r="A2" s="11"/>
      <c r="B2" s="13"/>
      <c r="C2" s="13"/>
      <c r="D2" s="13"/>
      <c r="E2" s="13"/>
      <c r="F2" s="145"/>
      <c r="G2" s="145"/>
      <c r="H2" s="145"/>
      <c r="I2" s="11"/>
      <c r="J2" s="11"/>
      <c r="K2" s="11"/>
      <c r="L2" s="11"/>
      <c r="M2" s="11"/>
      <c r="N2" s="11"/>
      <c r="O2" s="11"/>
      <c r="P2" s="11"/>
      <c r="Q2" s="11"/>
    </row>
    <row r="3" spans="1:17" x14ac:dyDescent="0.25">
      <c r="A3" s="11"/>
      <c r="B3" s="135"/>
      <c r="C3" s="135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</row>
    <row r="4" spans="1:17" x14ac:dyDescent="0.25">
      <c r="A4" s="11"/>
      <c r="B4" s="160"/>
      <c r="C4" s="160"/>
      <c r="D4" s="160"/>
      <c r="E4" s="160"/>
      <c r="F4" s="137"/>
      <c r="G4" s="137"/>
      <c r="H4" s="137"/>
      <c r="I4" s="11"/>
      <c r="J4" s="11"/>
      <c r="K4" s="11"/>
      <c r="L4" s="11"/>
      <c r="M4" s="11"/>
      <c r="N4" s="11"/>
      <c r="O4" s="11"/>
      <c r="P4" s="11"/>
      <c r="Q4" s="11"/>
    </row>
    <row r="5" spans="1:17" x14ac:dyDescent="0.25">
      <c r="A5" s="11"/>
      <c r="B5" s="11"/>
      <c r="C5" s="14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</row>
    <row r="6" spans="1:17" x14ac:dyDescent="0.25">
      <c r="A6" s="138" t="s">
        <v>1</v>
      </c>
      <c r="B6" s="138"/>
      <c r="C6" s="138"/>
      <c r="D6" s="138"/>
      <c r="E6" s="138"/>
      <c r="F6" s="138"/>
      <c r="G6" s="138"/>
      <c r="H6" s="138"/>
      <c r="I6" s="11"/>
      <c r="J6" s="11"/>
      <c r="K6" s="11"/>
      <c r="L6" s="11"/>
      <c r="M6" s="11"/>
      <c r="N6" s="11"/>
      <c r="O6" s="11"/>
      <c r="P6" s="11"/>
      <c r="Q6" s="11"/>
    </row>
    <row r="7" spans="1:17" x14ac:dyDescent="0.25">
      <c r="A7" s="138" t="s">
        <v>36</v>
      </c>
      <c r="B7" s="138"/>
      <c r="C7" s="138"/>
      <c r="D7" s="138"/>
      <c r="E7" s="138"/>
      <c r="F7" s="138"/>
      <c r="G7" s="138"/>
      <c r="H7" s="138"/>
      <c r="I7" s="11"/>
      <c r="J7" s="11"/>
      <c r="K7" s="11"/>
      <c r="L7" s="11"/>
      <c r="M7" s="11"/>
      <c r="N7" s="11"/>
    </row>
    <row r="8" spans="1:17" ht="15.75" customHeight="1" x14ac:dyDescent="0.25">
      <c r="A8" s="140" t="s">
        <v>39</v>
      </c>
      <c r="B8" s="140"/>
      <c r="C8" s="140"/>
      <c r="D8" s="140"/>
      <c r="E8" s="140"/>
      <c r="F8" s="140"/>
      <c r="G8" s="140"/>
      <c r="H8" s="140"/>
      <c r="I8" s="11"/>
      <c r="J8" s="11"/>
      <c r="K8" s="11"/>
      <c r="L8" s="11"/>
      <c r="M8" s="11"/>
      <c r="N8" s="11"/>
    </row>
    <row r="9" spans="1:17" x14ac:dyDescent="0.25">
      <c r="A9" s="137" t="s">
        <v>83</v>
      </c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</row>
    <row r="10" spans="1:17" x14ac:dyDescent="0.25">
      <c r="A10" s="139" t="s">
        <v>2</v>
      </c>
      <c r="B10" s="139"/>
      <c r="C10" s="139"/>
      <c r="D10" s="139"/>
      <c r="E10" s="139"/>
      <c r="F10" s="139"/>
      <c r="G10" s="139"/>
      <c r="H10" s="139"/>
      <c r="I10" s="11"/>
      <c r="J10" s="11"/>
      <c r="K10" s="11"/>
      <c r="L10" s="11"/>
      <c r="M10" s="11"/>
      <c r="N10" s="11"/>
    </row>
    <row r="11" spans="1:17" ht="24.75" customHeight="1" x14ac:dyDescent="0.25">
      <c r="A11" s="164" t="s">
        <v>3</v>
      </c>
      <c r="B11" s="167" t="s">
        <v>31</v>
      </c>
      <c r="C11" s="170" t="s">
        <v>67</v>
      </c>
      <c r="D11" s="170"/>
      <c r="E11" s="136" t="s">
        <v>68</v>
      </c>
      <c r="F11" s="136"/>
      <c r="G11" s="171" t="s">
        <v>69</v>
      </c>
      <c r="H11" s="171"/>
      <c r="I11" s="170" t="s">
        <v>70</v>
      </c>
      <c r="J11" s="170"/>
      <c r="K11" s="136" t="s">
        <v>71</v>
      </c>
      <c r="L11" s="136"/>
      <c r="M11" s="176" t="s">
        <v>72</v>
      </c>
      <c r="N11" s="176"/>
      <c r="O11" s="164" t="s">
        <v>74</v>
      </c>
      <c r="P11" s="136" t="s">
        <v>75</v>
      </c>
    </row>
    <row r="12" spans="1:17" ht="15" customHeight="1" x14ac:dyDescent="0.25">
      <c r="A12" s="166"/>
      <c r="B12" s="168"/>
      <c r="C12" s="170"/>
      <c r="D12" s="170"/>
      <c r="E12" s="136"/>
      <c r="F12" s="136"/>
      <c r="G12" s="171"/>
      <c r="H12" s="171"/>
      <c r="I12" s="170"/>
      <c r="J12" s="170"/>
      <c r="K12" s="136"/>
      <c r="L12" s="136"/>
      <c r="M12" s="176"/>
      <c r="N12" s="176"/>
      <c r="O12" s="165"/>
      <c r="P12" s="136"/>
    </row>
    <row r="13" spans="1:17" x14ac:dyDescent="0.25">
      <c r="A13" s="165"/>
      <c r="B13" s="169"/>
      <c r="C13" s="172" t="s">
        <v>76</v>
      </c>
      <c r="D13" s="173"/>
      <c r="E13" s="174" t="s">
        <v>76</v>
      </c>
      <c r="F13" s="175"/>
      <c r="G13" s="174" t="s">
        <v>76</v>
      </c>
      <c r="H13" s="175"/>
      <c r="I13" s="174" t="s">
        <v>76</v>
      </c>
      <c r="J13" s="175"/>
      <c r="K13" s="174" t="s">
        <v>76</v>
      </c>
      <c r="L13" s="175"/>
      <c r="M13" s="174" t="s">
        <v>76</v>
      </c>
      <c r="N13" s="175"/>
      <c r="O13" s="92" t="s">
        <v>25</v>
      </c>
      <c r="P13" s="93" t="s">
        <v>93</v>
      </c>
    </row>
    <row r="14" spans="1:17" x14ac:dyDescent="0.25">
      <c r="A14" s="16">
        <v>1</v>
      </c>
      <c r="B14" s="16" t="s">
        <v>4</v>
      </c>
      <c r="C14" s="94"/>
      <c r="D14" s="94"/>
      <c r="E14" s="95"/>
      <c r="F14" s="95"/>
      <c r="G14" s="95"/>
      <c r="H14" s="95"/>
      <c r="I14" s="94"/>
      <c r="J14" s="94"/>
      <c r="K14" s="95"/>
      <c r="L14" s="95"/>
      <c r="M14" s="95"/>
      <c r="N14" s="95"/>
      <c r="O14" s="95"/>
      <c r="P14" s="93"/>
    </row>
    <row r="15" spans="1:17" x14ac:dyDescent="0.25">
      <c r="A15" s="17"/>
      <c r="B15" s="17" t="s">
        <v>5</v>
      </c>
      <c r="C15" s="161">
        <f xml:space="preserve"> F46*6+1068</f>
        <v>8359.288946702829</v>
      </c>
      <c r="D15" s="162"/>
      <c r="E15" s="161">
        <f>F46*6+3312</f>
        <v>10603.288946702829</v>
      </c>
      <c r="F15" s="162"/>
      <c r="G15" s="161">
        <f>F46*6+2334</f>
        <v>9625.288946702829</v>
      </c>
      <c r="H15" s="162"/>
      <c r="I15" s="161">
        <f>F46*6+1920</f>
        <v>9211.288946702829</v>
      </c>
      <c r="J15" s="162"/>
      <c r="K15" s="161">
        <f>F46*6+1668</f>
        <v>8959.288946702829</v>
      </c>
      <c r="L15" s="162"/>
      <c r="M15" s="161">
        <f>F46*6+2563</f>
        <v>9854.288946702829</v>
      </c>
      <c r="N15" s="162"/>
      <c r="O15" s="94">
        <f>F46*5+13524</f>
        <v>19600.074122252357</v>
      </c>
      <c r="P15" s="96">
        <f>F46*21+10912</f>
        <v>36431.511313459901</v>
      </c>
    </row>
    <row r="16" spans="1:17" x14ac:dyDescent="0.25">
      <c r="A16" s="17"/>
      <c r="B16" s="17" t="s">
        <v>6</v>
      </c>
      <c r="C16" s="161">
        <f xml:space="preserve"> F47*6+1068</f>
        <v>6947.1418433845938</v>
      </c>
      <c r="D16" s="162"/>
      <c r="E16" s="161">
        <f>F47*6+3312</f>
        <v>9191.1418433845938</v>
      </c>
      <c r="F16" s="162"/>
      <c r="G16" s="161">
        <f>F47*6+2334</f>
        <v>8213.1418433845938</v>
      </c>
      <c r="H16" s="162"/>
      <c r="I16" s="161">
        <f>F47*6+1920</f>
        <v>7799.1418433845938</v>
      </c>
      <c r="J16" s="162"/>
      <c r="K16" s="161">
        <f>F47*6+1668</f>
        <v>7547.1418433845938</v>
      </c>
      <c r="L16" s="162"/>
      <c r="M16" s="161">
        <f>F47*6+2563</f>
        <v>8442.1418433845938</v>
      </c>
      <c r="N16" s="162"/>
      <c r="O16" s="94">
        <f>F47*5+13524</f>
        <v>18423.284869487161</v>
      </c>
      <c r="P16" s="96">
        <f t="shared" ref="P16:P18" si="0">F47*21+10912</f>
        <v>31488.99645184608</v>
      </c>
    </row>
    <row r="17" spans="1:17" x14ac:dyDescent="0.25">
      <c r="A17" s="17"/>
      <c r="B17" s="17" t="s">
        <v>7</v>
      </c>
      <c r="C17" s="161">
        <f xml:space="preserve"> F48*6+1068</f>
        <v>5743.108695652174</v>
      </c>
      <c r="D17" s="162"/>
      <c r="E17" s="161">
        <f>F48*6+3312</f>
        <v>7987.108695652174</v>
      </c>
      <c r="F17" s="162"/>
      <c r="G17" s="161">
        <f>F48*6+2334</f>
        <v>7009.108695652174</v>
      </c>
      <c r="H17" s="162"/>
      <c r="I17" s="161">
        <f>F48*6+1920</f>
        <v>6595.108695652174</v>
      </c>
      <c r="J17" s="162"/>
      <c r="K17" s="161">
        <f>F48*6+1668</f>
        <v>6343.108695652174</v>
      </c>
      <c r="L17" s="162"/>
      <c r="M17" s="161">
        <f>F48*6+2563</f>
        <v>7238.108695652174</v>
      </c>
      <c r="N17" s="162"/>
      <c r="O17" s="94">
        <f>F48*5+13524</f>
        <v>17419.92391304348</v>
      </c>
      <c r="P17" s="96">
        <f t="shared" si="0"/>
        <v>27274.880434782608</v>
      </c>
    </row>
    <row r="18" spans="1:17" x14ac:dyDescent="0.25">
      <c r="A18" s="17"/>
      <c r="B18" s="17" t="s">
        <v>8</v>
      </c>
      <c r="C18" s="161">
        <f xml:space="preserve"> F49*6+1068</f>
        <v>13287.183953663343</v>
      </c>
      <c r="D18" s="162"/>
      <c r="E18" s="161">
        <f>F49*6+3312</f>
        <v>15531.183953663343</v>
      </c>
      <c r="F18" s="162"/>
      <c r="G18" s="161">
        <f>F49*6+2334</f>
        <v>14553.183953663343</v>
      </c>
      <c r="H18" s="162"/>
      <c r="I18" s="161">
        <f>F49*6+1920</f>
        <v>14139.183953663343</v>
      </c>
      <c r="J18" s="162"/>
      <c r="K18" s="161">
        <f>F49*6+1668</f>
        <v>13887.183953663343</v>
      </c>
      <c r="L18" s="162"/>
      <c r="M18" s="161">
        <f>F49*6+2563</f>
        <v>14782.183953663343</v>
      </c>
      <c r="N18" s="162"/>
      <c r="O18" s="94">
        <f>F49*5+13524</f>
        <v>23706.653294719454</v>
      </c>
      <c r="P18" s="96">
        <f t="shared" si="0"/>
        <v>53679.143837821699</v>
      </c>
    </row>
    <row r="19" spans="1:17" x14ac:dyDescent="0.25">
      <c r="A19" s="16">
        <v>2</v>
      </c>
      <c r="B19" s="16" t="s">
        <v>9</v>
      </c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6"/>
    </row>
    <row r="20" spans="1:17" x14ac:dyDescent="0.25">
      <c r="A20" s="17"/>
      <c r="B20" s="17" t="s">
        <v>5</v>
      </c>
      <c r="C20" s="161">
        <f>F51*6+1068</f>
        <v>9239.8444670841054</v>
      </c>
      <c r="D20" s="162"/>
      <c r="E20" s="161">
        <f>F51*6+3312</f>
        <v>11483.844467084105</v>
      </c>
      <c r="F20" s="162"/>
      <c r="G20" s="161">
        <f>F51*6+2334</f>
        <v>10505.844467084105</v>
      </c>
      <c r="H20" s="162"/>
      <c r="I20" s="161">
        <f>F51*6+1920</f>
        <v>10091.844467084105</v>
      </c>
      <c r="J20" s="162"/>
      <c r="K20" s="161">
        <f>F51*6+1668</f>
        <v>9839.8444670841054</v>
      </c>
      <c r="L20" s="162"/>
      <c r="M20" s="161">
        <f>F51*6+2563</f>
        <v>10734.844467084105</v>
      </c>
      <c r="N20" s="162"/>
      <c r="O20" s="94">
        <f>F51*5+13524</f>
        <v>20333.870389236756</v>
      </c>
      <c r="P20" s="96">
        <f>F51*21+10912</f>
        <v>39513.455634794373</v>
      </c>
    </row>
    <row r="21" spans="1:17" x14ac:dyDescent="0.25">
      <c r="A21" s="17"/>
      <c r="B21" s="17" t="s">
        <v>6</v>
      </c>
      <c r="C21" s="161">
        <f>F52*6+1068</f>
        <v>7841.0949898848912</v>
      </c>
      <c r="D21" s="162"/>
      <c r="E21" s="161">
        <f>F52*6+3312</f>
        <v>10085.094989884892</v>
      </c>
      <c r="F21" s="162"/>
      <c r="G21" s="161">
        <f>F52*6+2334</f>
        <v>9107.0949898848921</v>
      </c>
      <c r="H21" s="162"/>
      <c r="I21" s="161">
        <f>F52*6+1920</f>
        <v>8693.0949898848921</v>
      </c>
      <c r="J21" s="162"/>
      <c r="K21" s="161">
        <f>F52*6+1668</f>
        <v>8441.0949898848921</v>
      </c>
      <c r="L21" s="162"/>
      <c r="M21" s="161">
        <f>F52*6+2563</f>
        <v>9336.0949898848921</v>
      </c>
      <c r="N21" s="162"/>
      <c r="O21" s="94">
        <f>F52*5+13524</f>
        <v>19168.245824904076</v>
      </c>
      <c r="P21" s="96">
        <f t="shared" ref="P21:P23" si="1">F52*21+10912</f>
        <v>34617.832464597115</v>
      </c>
    </row>
    <row r="22" spans="1:17" x14ac:dyDescent="0.25">
      <c r="A22" s="17"/>
      <c r="B22" s="17" t="s">
        <v>7</v>
      </c>
      <c r="C22" s="161">
        <f>F53*6+1068</f>
        <v>6683.3197316171436</v>
      </c>
      <c r="D22" s="162"/>
      <c r="E22" s="161">
        <f>F53*6+3312</f>
        <v>8927.3197316171427</v>
      </c>
      <c r="F22" s="162"/>
      <c r="G22" s="161">
        <f>F53*6+2334</f>
        <v>7949.3197316171436</v>
      </c>
      <c r="H22" s="162"/>
      <c r="I22" s="161">
        <f>F53*6+1920</f>
        <v>7535.3197316171436</v>
      </c>
      <c r="J22" s="162"/>
      <c r="K22" s="161">
        <f>F53*6+1668</f>
        <v>7283.3197316171436</v>
      </c>
      <c r="L22" s="162"/>
      <c r="M22" s="161">
        <f>F53*6+2563</f>
        <v>8178.3197316171436</v>
      </c>
      <c r="N22" s="162"/>
      <c r="O22" s="94">
        <f>F53*5+13524</f>
        <v>18203.433109680955</v>
      </c>
      <c r="P22" s="96">
        <f t="shared" si="1"/>
        <v>30565.619060660003</v>
      </c>
    </row>
    <row r="23" spans="1:17" x14ac:dyDescent="0.25">
      <c r="A23" s="17"/>
      <c r="B23" s="17" t="s">
        <v>8</v>
      </c>
      <c r="C23" s="161">
        <f>F54*6+1068</f>
        <v>14203.749183239745</v>
      </c>
      <c r="D23" s="162"/>
      <c r="E23" s="161">
        <f>F54*6+3312</f>
        <v>16447.749183239743</v>
      </c>
      <c r="F23" s="162"/>
      <c r="G23" s="161">
        <f>F54*6+2334</f>
        <v>15469.749183239745</v>
      </c>
      <c r="H23" s="162"/>
      <c r="I23" s="161">
        <f>F54*6+1920</f>
        <v>15055.749183239745</v>
      </c>
      <c r="J23" s="162"/>
      <c r="K23" s="161">
        <f>F54*6+1668</f>
        <v>14803.749183239745</v>
      </c>
      <c r="L23" s="162"/>
      <c r="M23" s="161">
        <f>F54*6+2563</f>
        <v>15698.749183239745</v>
      </c>
      <c r="N23" s="162"/>
      <c r="O23" s="94">
        <f>F54*5+13524</f>
        <v>24470.457652699788</v>
      </c>
      <c r="P23" s="96">
        <f t="shared" si="1"/>
        <v>56887.122141339103</v>
      </c>
    </row>
    <row r="24" spans="1:17" x14ac:dyDescent="0.25">
      <c r="A24" s="16">
        <v>3</v>
      </c>
      <c r="B24" s="16" t="s">
        <v>10</v>
      </c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6"/>
    </row>
    <row r="25" spans="1:17" x14ac:dyDescent="0.25">
      <c r="A25" s="17"/>
      <c r="B25" s="17" t="s">
        <v>5</v>
      </c>
      <c r="C25" s="161">
        <f>F56*6+1068</f>
        <v>9859.9582130753224</v>
      </c>
      <c r="D25" s="162"/>
      <c r="E25" s="161">
        <f>F56*6+3312</f>
        <v>12103.958213075322</v>
      </c>
      <c r="F25" s="162"/>
      <c r="G25" s="161">
        <f>F56*6+2334</f>
        <v>11125.958213075322</v>
      </c>
      <c r="H25" s="162"/>
      <c r="I25" s="161">
        <f>F56*6+1920</f>
        <v>10711.958213075322</v>
      </c>
      <c r="J25" s="162"/>
      <c r="K25" s="161">
        <f>F56*6+1668</f>
        <v>10459.958213075322</v>
      </c>
      <c r="L25" s="162"/>
      <c r="M25" s="161">
        <f>F56*6+2563</f>
        <v>11354.958213075322</v>
      </c>
      <c r="N25" s="162"/>
      <c r="O25" s="94">
        <f>F56*5+13524</f>
        <v>20850.631844229436</v>
      </c>
      <c r="P25" s="96">
        <f>F56*21+10912</f>
        <v>41683.853745763627</v>
      </c>
    </row>
    <row r="26" spans="1:17" x14ac:dyDescent="0.25">
      <c r="A26" s="17"/>
      <c r="B26" s="17" t="s">
        <v>6</v>
      </c>
      <c r="C26" s="161">
        <f>F57*6+1068</f>
        <v>8473.333150639377</v>
      </c>
      <c r="D26" s="162"/>
      <c r="E26" s="161">
        <f>F57*6+3312</f>
        <v>10717.333150639377</v>
      </c>
      <c r="F26" s="162"/>
      <c r="G26" s="161">
        <f>F57*6+2334</f>
        <v>9739.333150639377</v>
      </c>
      <c r="H26" s="162"/>
      <c r="I26" s="161">
        <f>F57*6+1920</f>
        <v>9325.333150639377</v>
      </c>
      <c r="J26" s="162"/>
      <c r="K26" s="161">
        <f>F57*6+1668</f>
        <v>9073.333150639377</v>
      </c>
      <c r="L26" s="162"/>
      <c r="M26" s="161">
        <f>F57*6+2563</f>
        <v>9968.333150639377</v>
      </c>
      <c r="N26" s="162"/>
      <c r="O26" s="94">
        <f>F57*5+13524</f>
        <v>19695.110958866149</v>
      </c>
      <c r="P26" s="96">
        <f t="shared" ref="P26:P28" si="2">F57*21+10912</f>
        <v>36830.666027237821</v>
      </c>
    </row>
    <row r="27" spans="1:17" x14ac:dyDescent="0.25">
      <c r="A27" s="17"/>
      <c r="B27" s="17" t="s">
        <v>7</v>
      </c>
      <c r="C27" s="161">
        <f>F58*6+1068</f>
        <v>7338.4814814814808</v>
      </c>
      <c r="D27" s="162"/>
      <c r="E27" s="161">
        <f>F58*6+3312</f>
        <v>9582.4814814814818</v>
      </c>
      <c r="F27" s="162"/>
      <c r="G27" s="161">
        <f>F58*6+2334</f>
        <v>8604.4814814814818</v>
      </c>
      <c r="H27" s="162"/>
      <c r="I27" s="161">
        <f>F58*6+1920</f>
        <v>8190.4814814814808</v>
      </c>
      <c r="J27" s="162"/>
      <c r="K27" s="161">
        <f>F58*6+1668</f>
        <v>7938.4814814814808</v>
      </c>
      <c r="L27" s="162"/>
      <c r="M27" s="161">
        <f>F58*6+2563</f>
        <v>8833.4814814814818</v>
      </c>
      <c r="N27" s="162"/>
      <c r="O27" s="94">
        <f>F58*5+13524</f>
        <v>18749.4012345679</v>
      </c>
      <c r="P27" s="96">
        <f t="shared" si="2"/>
        <v>32858.685185185182</v>
      </c>
    </row>
    <row r="28" spans="1:17" x14ac:dyDescent="0.25">
      <c r="A28" s="17"/>
      <c r="B28" s="17" t="s">
        <v>8</v>
      </c>
      <c r="C28" s="163">
        <f>F59*6+1068</f>
        <v>14883.44158684112</v>
      </c>
      <c r="D28" s="163"/>
      <c r="E28" s="161">
        <f>F59*6+3312</f>
        <v>17127.44158684112</v>
      </c>
      <c r="F28" s="162"/>
      <c r="G28" s="161">
        <f>F59*6+2334</f>
        <v>16149.44158684112</v>
      </c>
      <c r="H28" s="162"/>
      <c r="I28" s="161">
        <f>F59*6+1920</f>
        <v>15735.44158684112</v>
      </c>
      <c r="J28" s="162"/>
      <c r="K28" s="161">
        <f>F59*6+1668</f>
        <v>15483.44158684112</v>
      </c>
      <c r="L28" s="162"/>
      <c r="M28" s="161">
        <f>F59*6+2563</f>
        <v>16378.44158684112</v>
      </c>
      <c r="N28" s="162"/>
      <c r="O28" s="94">
        <f>F59*5+13524</f>
        <v>25036.867989034268</v>
      </c>
      <c r="P28" s="96">
        <f t="shared" si="2"/>
        <v>59266.045553943921</v>
      </c>
    </row>
    <row r="29" spans="1:17" ht="15" customHeight="1" x14ac:dyDescent="0.25">
      <c r="A29" s="108">
        <v>4</v>
      </c>
      <c r="B29" s="16" t="s">
        <v>86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</row>
    <row r="30" spans="1:17" ht="15" customHeight="1" x14ac:dyDescent="0.25">
      <c r="A30" s="17"/>
      <c r="B30" s="17" t="s">
        <v>87</v>
      </c>
      <c r="C30" s="158">
        <f>F61*6+1068</f>
        <v>4192.8554524495066</v>
      </c>
      <c r="D30" s="159"/>
      <c r="E30" s="158">
        <f>F61*6+3312</f>
        <v>6436.8554524495066</v>
      </c>
      <c r="F30" s="159"/>
      <c r="G30" s="158">
        <f>F61*6+2334</f>
        <v>5458.8554524495066</v>
      </c>
      <c r="H30" s="159"/>
      <c r="I30" s="158">
        <f>F61*6+1920</f>
        <v>5044.8554524495066</v>
      </c>
      <c r="J30" s="159"/>
      <c r="K30" s="158">
        <f>F61*6+1668</f>
        <v>4792.8554524495066</v>
      </c>
      <c r="L30" s="159"/>
      <c r="M30" s="158">
        <f>F61*6+2563</f>
        <v>5687.8554524495066</v>
      </c>
      <c r="N30" s="159"/>
      <c r="O30" s="110">
        <f>F61*5+13524</f>
        <v>16128.046210374589</v>
      </c>
      <c r="P30" s="118">
        <f>F61*21+10912</f>
        <v>21848.994083573274</v>
      </c>
      <c r="Q30" s="106"/>
    </row>
    <row r="31" spans="1:17" ht="15" customHeight="1" x14ac:dyDescent="0.25">
      <c r="A31" s="105"/>
      <c r="B31" s="17" t="s">
        <v>88</v>
      </c>
      <c r="C31" s="158">
        <f>F62*6+1068</f>
        <v>5118.6997951864305</v>
      </c>
      <c r="D31" s="159"/>
      <c r="E31" s="158">
        <f t="shared" ref="E31:E32" si="3">F62*6+3312</f>
        <v>7362.6997951864305</v>
      </c>
      <c r="F31" s="159"/>
      <c r="G31" s="158">
        <f t="shared" ref="G31:G32" si="4">F62*6+2334</f>
        <v>6384.6997951864305</v>
      </c>
      <c r="H31" s="159"/>
      <c r="I31" s="158">
        <f t="shared" ref="I31:I32" si="5">F62*6+1920</f>
        <v>5970.6997951864305</v>
      </c>
      <c r="J31" s="159"/>
      <c r="K31" s="158">
        <f t="shared" ref="K31:K32" si="6">F62*6+1668</f>
        <v>5718.6997951864305</v>
      </c>
      <c r="L31" s="159"/>
      <c r="M31" s="158">
        <f t="shared" ref="M31:M32" si="7">F62*6+2563</f>
        <v>6613.6997951864305</v>
      </c>
      <c r="N31" s="159"/>
      <c r="O31" s="110">
        <f>F62*5+13524</f>
        <v>16899.583162655359</v>
      </c>
      <c r="P31" s="118">
        <f t="shared" ref="P31:P32" si="8">F62*21+10912</f>
        <v>25089.449283152506</v>
      </c>
    </row>
    <row r="32" spans="1:17" x14ac:dyDescent="0.25">
      <c r="A32" s="105"/>
      <c r="B32" s="17" t="s">
        <v>89</v>
      </c>
      <c r="C32" s="158">
        <f>F63*6+1068</f>
        <v>3567.0039648411489</v>
      </c>
      <c r="D32" s="159"/>
      <c r="E32" s="158">
        <f t="shared" si="3"/>
        <v>5811.0039648411494</v>
      </c>
      <c r="F32" s="159"/>
      <c r="G32" s="158">
        <f t="shared" si="4"/>
        <v>4833.0039648411494</v>
      </c>
      <c r="H32" s="159"/>
      <c r="I32" s="158">
        <f t="shared" si="5"/>
        <v>4419.0039648411494</v>
      </c>
      <c r="J32" s="159"/>
      <c r="K32" s="158">
        <f t="shared" si="6"/>
        <v>4167.0039648411494</v>
      </c>
      <c r="L32" s="159"/>
      <c r="M32" s="158">
        <f t="shared" si="7"/>
        <v>5062.0039648411494</v>
      </c>
      <c r="N32" s="159"/>
      <c r="O32" s="110">
        <f>F63*5+13524</f>
        <v>15606.50330403429</v>
      </c>
      <c r="P32" s="118">
        <f t="shared" si="8"/>
        <v>19658.513876944024</v>
      </c>
    </row>
    <row r="33" spans="1:16" x14ac:dyDescent="0.25">
      <c r="A33" s="21"/>
      <c r="B33" s="21"/>
      <c r="C33" s="21"/>
      <c r="D33" s="21"/>
      <c r="E33" s="21"/>
      <c r="F33" s="21"/>
      <c r="G33" s="21"/>
      <c r="H33" s="21"/>
      <c r="I33" s="18"/>
      <c r="J33" s="18"/>
      <c r="K33" s="18"/>
      <c r="L33" s="18"/>
      <c r="M33" s="18"/>
      <c r="N33" s="11"/>
      <c r="O33" s="38"/>
      <c r="P33" s="104"/>
    </row>
    <row r="34" spans="1:16" x14ac:dyDescent="0.25">
      <c r="A34" s="48"/>
      <c r="B34" s="48"/>
      <c r="C34" s="178">
        <f>'Дамский заезд 2'!E12</f>
        <v>1068.3924999999999</v>
      </c>
      <c r="D34" s="178"/>
      <c r="E34" s="177">
        <f>'Дамский заезд 2'!E22</f>
        <v>3311.624675</v>
      </c>
      <c r="F34" s="177"/>
      <c r="G34" s="177">
        <f>'Дамский заезд 2'!E32</f>
        <v>2334.4629249999998</v>
      </c>
      <c r="H34" s="177"/>
      <c r="I34" s="177">
        <f>'Дамский заезд 2'!E41</f>
        <v>1919.925</v>
      </c>
      <c r="J34" s="177"/>
      <c r="K34" s="177">
        <f>'Дамский заезд 2'!E50</f>
        <v>1667.8857499999999</v>
      </c>
      <c r="L34" s="177"/>
      <c r="M34" s="177">
        <f>'Дамский заезд 2'!E60</f>
        <v>2563.4849999999997</v>
      </c>
      <c r="N34" s="177"/>
      <c r="O34" s="120">
        <f>'Дамский заезд 2'!E78</f>
        <v>13523.618999999999</v>
      </c>
      <c r="P34" s="121">
        <f>'Дамский заезд 2'!E89</f>
        <v>10911.646199999999</v>
      </c>
    </row>
    <row r="35" spans="1:16" x14ac:dyDescent="0.25">
      <c r="A35" s="11"/>
      <c r="B35" s="11" t="s">
        <v>81</v>
      </c>
      <c r="C35" s="11"/>
      <c r="D35" s="11"/>
      <c r="E35" s="11"/>
      <c r="F35" s="11"/>
      <c r="G35" s="11" t="s">
        <v>42</v>
      </c>
      <c r="H35" s="11"/>
      <c r="I35" s="11"/>
      <c r="J35" s="11"/>
      <c r="K35" s="11"/>
      <c r="L35" s="11"/>
      <c r="M35" s="11"/>
      <c r="N35" s="11"/>
      <c r="O35" s="38"/>
    </row>
    <row r="36" spans="1:16" x14ac:dyDescent="0.2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39"/>
    </row>
    <row r="37" spans="1:16" x14ac:dyDescent="0.25">
      <c r="A37" s="11"/>
      <c r="B37" s="11" t="s">
        <v>13</v>
      </c>
      <c r="C37" s="11"/>
      <c r="D37" s="11"/>
      <c r="E37" s="11"/>
      <c r="F37" s="11"/>
      <c r="G37" s="11" t="s">
        <v>14</v>
      </c>
      <c r="H37" s="11"/>
      <c r="I37" s="11"/>
      <c r="J37" s="11"/>
      <c r="K37" s="11"/>
      <c r="L37" s="11"/>
      <c r="M37" s="11"/>
      <c r="N37" s="11"/>
      <c r="O37" s="38"/>
    </row>
    <row r="38" spans="1:16" x14ac:dyDescent="0.2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38"/>
    </row>
    <row r="39" spans="1:16" x14ac:dyDescent="0.25">
      <c r="A39" s="11"/>
      <c r="B39" s="11" t="s">
        <v>15</v>
      </c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38"/>
    </row>
    <row r="40" spans="1:16" x14ac:dyDescent="0.2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38"/>
    </row>
    <row r="41" spans="1:16" x14ac:dyDescent="0.25">
      <c r="A41" s="11"/>
      <c r="B41" s="11" t="s">
        <v>16</v>
      </c>
      <c r="C41" s="11"/>
      <c r="D41" s="11"/>
      <c r="E41" s="11"/>
      <c r="F41" s="11"/>
      <c r="G41" s="11" t="s">
        <v>30</v>
      </c>
      <c r="H41" s="11"/>
      <c r="I41" s="11"/>
      <c r="J41" s="11"/>
      <c r="K41" s="11"/>
      <c r="L41" s="11"/>
      <c r="M41" s="11"/>
      <c r="N41" s="11"/>
      <c r="O41" s="39"/>
    </row>
    <row r="42" spans="1:16" x14ac:dyDescent="0.25">
      <c r="O42" s="38"/>
    </row>
    <row r="43" spans="1:16" x14ac:dyDescent="0.25">
      <c r="O43" s="38"/>
    </row>
    <row r="44" spans="1:16" x14ac:dyDescent="0.25">
      <c r="O44" s="38"/>
    </row>
    <row r="45" spans="1:16" ht="29.25" customHeight="1" x14ac:dyDescent="0.25">
      <c r="B45" s="91" t="s">
        <v>4</v>
      </c>
      <c r="C45" s="2"/>
      <c r="D45" t="s">
        <v>77</v>
      </c>
      <c r="E45" t="s">
        <v>79</v>
      </c>
      <c r="F45" t="s">
        <v>78</v>
      </c>
      <c r="O45" s="38"/>
    </row>
    <row r="46" spans="1:16" x14ac:dyDescent="0.25">
      <c r="B46" s="2" t="s">
        <v>5</v>
      </c>
      <c r="C46" s="2">
        <v>1689</v>
      </c>
      <c r="D46">
        <v>0.28051224129634605</v>
      </c>
      <c r="E46">
        <f>C46*D46</f>
        <v>473.7851755495285</v>
      </c>
      <c r="F46">
        <f>C46-E46</f>
        <v>1215.2148244504715</v>
      </c>
    </row>
    <row r="47" spans="1:16" x14ac:dyDescent="0.25">
      <c r="B47" s="2" t="s">
        <v>6</v>
      </c>
      <c r="C47" s="2">
        <v>1551</v>
      </c>
      <c r="D47">
        <v>0.36824179632660714</v>
      </c>
      <c r="E47">
        <f t="shared" ref="E47:E49" si="9">C47*D47</f>
        <v>571.14302610256766</v>
      </c>
      <c r="F47">
        <f t="shared" ref="F47:F63" si="10">C47-E47</f>
        <v>979.85697389743234</v>
      </c>
    </row>
    <row r="48" spans="1:16" x14ac:dyDescent="0.25">
      <c r="B48" s="2" t="s">
        <v>7</v>
      </c>
      <c r="C48" s="2">
        <v>1458</v>
      </c>
      <c r="D48">
        <v>0.46557971014492755</v>
      </c>
      <c r="E48">
        <f t="shared" si="9"/>
        <v>678.81521739130437</v>
      </c>
      <c r="F48">
        <f t="shared" si="10"/>
        <v>779.18478260869563</v>
      </c>
    </row>
    <row r="49" spans="2:6" x14ac:dyDescent="0.25">
      <c r="B49" s="2" t="s">
        <v>8</v>
      </c>
      <c r="C49" s="2">
        <v>2367</v>
      </c>
      <c r="D49">
        <v>0.13961526871825491</v>
      </c>
      <c r="E49">
        <f t="shared" si="9"/>
        <v>330.46934105610939</v>
      </c>
      <c r="F49">
        <f t="shared" si="10"/>
        <v>2036.5306589438906</v>
      </c>
    </row>
    <row r="50" spans="2:6" ht="30.75" customHeight="1" x14ac:dyDescent="0.25">
      <c r="B50" s="91" t="s">
        <v>9</v>
      </c>
      <c r="C50" s="2"/>
    </row>
    <row r="51" spans="2:6" x14ac:dyDescent="0.25">
      <c r="B51" s="2" t="s">
        <v>5</v>
      </c>
      <c r="C51" s="2">
        <v>1851</v>
      </c>
      <c r="D51">
        <v>0.26419552790526701</v>
      </c>
      <c r="E51">
        <f>C51*D51</f>
        <v>489.02592215264923</v>
      </c>
      <c r="F51">
        <f t="shared" si="10"/>
        <v>1361.9740778473508</v>
      </c>
    </row>
    <row r="52" spans="2:6" x14ac:dyDescent="0.25">
      <c r="B52" s="2" t="s">
        <v>6</v>
      </c>
      <c r="C52" s="2">
        <v>1712</v>
      </c>
      <c r="D52">
        <v>0.34062548774485102</v>
      </c>
      <c r="E52">
        <f t="shared" ref="E52:E54" si="11">C52*D52</f>
        <v>583.15083501918491</v>
      </c>
      <c r="F52">
        <f t="shared" si="10"/>
        <v>1128.8491649808152</v>
      </c>
    </row>
    <row r="53" spans="2:6" x14ac:dyDescent="0.25">
      <c r="B53" s="2" t="s">
        <v>7</v>
      </c>
      <c r="C53" s="2">
        <v>1620</v>
      </c>
      <c r="D53">
        <v>0.4222922086813638</v>
      </c>
      <c r="E53">
        <f t="shared" si="11"/>
        <v>684.11337806380936</v>
      </c>
      <c r="F53">
        <f t="shared" si="10"/>
        <v>935.88662193619064</v>
      </c>
    </row>
    <row r="54" spans="2:6" x14ac:dyDescent="0.25">
      <c r="B54" s="2" t="s">
        <v>8</v>
      </c>
      <c r="C54" s="2">
        <v>2529</v>
      </c>
      <c r="D54">
        <v>0.13432521528669147</v>
      </c>
      <c r="E54">
        <f t="shared" si="11"/>
        <v>339.70846946004275</v>
      </c>
      <c r="F54">
        <f t="shared" si="10"/>
        <v>2189.2915305399574</v>
      </c>
    </row>
    <row r="55" spans="2:6" ht="30.75" customHeight="1" x14ac:dyDescent="0.25">
      <c r="B55" s="91" t="s">
        <v>10</v>
      </c>
      <c r="C55" s="2"/>
    </row>
    <row r="56" spans="2:6" x14ac:dyDescent="0.25">
      <c r="B56" s="2" t="s">
        <v>5</v>
      </c>
      <c r="C56" s="2">
        <v>1964</v>
      </c>
      <c r="D56">
        <v>0.25390714417215526</v>
      </c>
      <c r="E56">
        <f>C56*D56</f>
        <v>498.67363115411291</v>
      </c>
      <c r="F56">
        <f t="shared" si="10"/>
        <v>1465.3263688458871</v>
      </c>
    </row>
    <row r="57" spans="2:6" x14ac:dyDescent="0.25">
      <c r="B57" s="2" t="s">
        <v>6</v>
      </c>
      <c r="C57" s="2">
        <v>1825</v>
      </c>
      <c r="D57">
        <v>0.32371386752151809</v>
      </c>
      <c r="E57">
        <f t="shared" ref="E57:E59" si="12">C57*D57</f>
        <v>590.7778082267705</v>
      </c>
      <c r="F57">
        <f t="shared" si="10"/>
        <v>1234.2221917732295</v>
      </c>
    </row>
    <row r="58" spans="2:6" x14ac:dyDescent="0.25">
      <c r="B58" s="2" t="s">
        <v>7</v>
      </c>
      <c r="C58" s="2">
        <v>1732</v>
      </c>
      <c r="D58">
        <v>0.39660493827160492</v>
      </c>
      <c r="E58">
        <f t="shared" si="12"/>
        <v>686.91975308641975</v>
      </c>
      <c r="F58">
        <f t="shared" si="10"/>
        <v>1045.0802469135801</v>
      </c>
    </row>
    <row r="59" spans="2:6" x14ac:dyDescent="0.25">
      <c r="B59" s="2" t="s">
        <v>8</v>
      </c>
      <c r="C59" s="2">
        <v>2642</v>
      </c>
      <c r="D59">
        <v>0.12847327864994193</v>
      </c>
      <c r="E59">
        <f t="shared" si="12"/>
        <v>339.4264021931466</v>
      </c>
      <c r="F59">
        <f t="shared" si="10"/>
        <v>2302.5735978068533</v>
      </c>
    </row>
    <row r="60" spans="2:6" x14ac:dyDescent="0.25">
      <c r="B60" s="2" t="s">
        <v>86</v>
      </c>
      <c r="C60" s="2"/>
    </row>
    <row r="61" spans="2:6" x14ac:dyDescent="0.25">
      <c r="B61" s="2" t="s">
        <v>87</v>
      </c>
      <c r="C61" s="2">
        <v>1188.226851815873</v>
      </c>
      <c r="D61">
        <v>0.561692078175976</v>
      </c>
      <c r="E61">
        <f>C61*D61</f>
        <v>667.41760974095519</v>
      </c>
      <c r="F61">
        <f t="shared" si="10"/>
        <v>520.80924207491785</v>
      </c>
    </row>
    <row r="62" spans="2:6" x14ac:dyDescent="0.25">
      <c r="B62" s="2" t="s">
        <v>88</v>
      </c>
      <c r="C62" s="2">
        <v>1349.8935184825398</v>
      </c>
      <c r="D62">
        <v>0.49987415800766805</v>
      </c>
      <c r="E62">
        <f t="shared" ref="E62:E63" si="13">C62*D62</f>
        <v>674.7768859514681</v>
      </c>
      <c r="F62">
        <f t="shared" si="10"/>
        <v>675.11663253107167</v>
      </c>
    </row>
    <row r="63" spans="2:6" x14ac:dyDescent="0.25">
      <c r="B63" s="2" t="s">
        <v>89</v>
      </c>
      <c r="C63" s="2">
        <v>1077.7453671714288</v>
      </c>
      <c r="D63">
        <v>0.61354446653760608</v>
      </c>
      <c r="E63">
        <f t="shared" si="13"/>
        <v>661.24470636457067</v>
      </c>
      <c r="F63">
        <f t="shared" si="10"/>
        <v>416.50066080685815</v>
      </c>
    </row>
  </sheetData>
  <mergeCells count="123">
    <mergeCell ref="M34:N34"/>
    <mergeCell ref="O1:Q1"/>
    <mergeCell ref="A9:P9"/>
    <mergeCell ref="M23:N23"/>
    <mergeCell ref="M25:N25"/>
    <mergeCell ref="M26:N26"/>
    <mergeCell ref="M27:N27"/>
    <mergeCell ref="M28:N28"/>
    <mergeCell ref="C34:D34"/>
    <mergeCell ref="E34:F34"/>
    <mergeCell ref="G34:H34"/>
    <mergeCell ref="I34:J34"/>
    <mergeCell ref="K34:L34"/>
    <mergeCell ref="K26:L26"/>
    <mergeCell ref="K27:L27"/>
    <mergeCell ref="K28:L28"/>
    <mergeCell ref="M15:N15"/>
    <mergeCell ref="M16:N16"/>
    <mergeCell ref="M17:N17"/>
    <mergeCell ref="M18:N18"/>
    <mergeCell ref="M20:N20"/>
    <mergeCell ref="M21:N21"/>
    <mergeCell ref="M22:N22"/>
    <mergeCell ref="K18:L18"/>
    <mergeCell ref="K20:L20"/>
    <mergeCell ref="K21:L21"/>
    <mergeCell ref="K22:L22"/>
    <mergeCell ref="K23:L23"/>
    <mergeCell ref="K25:L25"/>
    <mergeCell ref="I22:J22"/>
    <mergeCell ref="I23:J23"/>
    <mergeCell ref="I25:J25"/>
    <mergeCell ref="I26:J26"/>
    <mergeCell ref="I27:J27"/>
    <mergeCell ref="I28:J28"/>
    <mergeCell ref="I15:J15"/>
    <mergeCell ref="I16:J16"/>
    <mergeCell ref="I17:J17"/>
    <mergeCell ref="I18:J18"/>
    <mergeCell ref="I20:J20"/>
    <mergeCell ref="I21:J21"/>
    <mergeCell ref="G22:H22"/>
    <mergeCell ref="G23:H23"/>
    <mergeCell ref="G25:H25"/>
    <mergeCell ref="G26:H26"/>
    <mergeCell ref="G27:H27"/>
    <mergeCell ref="G28:H28"/>
    <mergeCell ref="G15:H15"/>
    <mergeCell ref="G16:H16"/>
    <mergeCell ref="G17:H17"/>
    <mergeCell ref="G18:H18"/>
    <mergeCell ref="G20:H20"/>
    <mergeCell ref="G21:H21"/>
    <mergeCell ref="E26:F26"/>
    <mergeCell ref="E27:F27"/>
    <mergeCell ref="E28:F28"/>
    <mergeCell ref="E15:F15"/>
    <mergeCell ref="E16:F16"/>
    <mergeCell ref="E17:F17"/>
    <mergeCell ref="E18:F18"/>
    <mergeCell ref="E20:F20"/>
    <mergeCell ref="E21:F21"/>
    <mergeCell ref="O11:O12"/>
    <mergeCell ref="P11:P12"/>
    <mergeCell ref="K15:L15"/>
    <mergeCell ref="K16:L16"/>
    <mergeCell ref="K17:L17"/>
    <mergeCell ref="A7:H7"/>
    <mergeCell ref="A8:H8"/>
    <mergeCell ref="A10:H10"/>
    <mergeCell ref="A11:A13"/>
    <mergeCell ref="B11:B13"/>
    <mergeCell ref="C11:D12"/>
    <mergeCell ref="E11:F12"/>
    <mergeCell ref="G11:H12"/>
    <mergeCell ref="I11:J12"/>
    <mergeCell ref="C13:D13"/>
    <mergeCell ref="E13:F13"/>
    <mergeCell ref="G13:H13"/>
    <mergeCell ref="I13:J13"/>
    <mergeCell ref="K13:L13"/>
    <mergeCell ref="M13:N13"/>
    <mergeCell ref="K11:L12"/>
    <mergeCell ref="M11:N12"/>
    <mergeCell ref="C15:D15"/>
    <mergeCell ref="I1:L1"/>
    <mergeCell ref="F2:H2"/>
    <mergeCell ref="B3:C3"/>
    <mergeCell ref="B4:E4"/>
    <mergeCell ref="F4:H4"/>
    <mergeCell ref="A6:H6"/>
    <mergeCell ref="C30:D30"/>
    <mergeCell ref="C31:D31"/>
    <mergeCell ref="K30:L30"/>
    <mergeCell ref="K31:L31"/>
    <mergeCell ref="C22:D22"/>
    <mergeCell ref="C23:D23"/>
    <mergeCell ref="C25:D25"/>
    <mergeCell ref="C26:D26"/>
    <mergeCell ref="C27:D27"/>
    <mergeCell ref="C28:D28"/>
    <mergeCell ref="C16:D16"/>
    <mergeCell ref="C17:D17"/>
    <mergeCell ref="C18:D18"/>
    <mergeCell ref="C20:D20"/>
    <mergeCell ref="C21:D21"/>
    <mergeCell ref="E22:F22"/>
    <mergeCell ref="E23:F23"/>
    <mergeCell ref="E25:F25"/>
    <mergeCell ref="K32:L32"/>
    <mergeCell ref="M30:N30"/>
    <mergeCell ref="M31:N31"/>
    <mergeCell ref="M32:N32"/>
    <mergeCell ref="C32:D32"/>
    <mergeCell ref="E30:F30"/>
    <mergeCell ref="E31:F31"/>
    <mergeCell ref="E32:F32"/>
    <mergeCell ref="G30:H30"/>
    <mergeCell ref="G31:H31"/>
    <mergeCell ref="G32:H32"/>
    <mergeCell ref="I30:J30"/>
    <mergeCell ref="I31:J31"/>
    <mergeCell ref="I32:J32"/>
  </mergeCells>
  <pageMargins left="0.7" right="0.7" top="0.75" bottom="0.75" header="0.3" footer="0.3"/>
  <pageSetup paperSize="9" scale="64" orientation="landscape" r:id="rId1"/>
  <rowBreaks count="1" manualBreakCount="1">
    <brk id="44" max="16383" man="1"/>
  </rowBreaks>
  <colBreaks count="1" manualBreakCount="1">
    <brk id="16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9"/>
  <sheetViews>
    <sheetView view="pageBreakPreview" zoomScale="75" zoomScaleSheetLayoutView="75" workbookViewId="0">
      <selection sqref="A1:XFD1048576"/>
    </sheetView>
  </sheetViews>
  <sheetFormatPr defaultRowHeight="15" x14ac:dyDescent="0.25"/>
  <cols>
    <col min="1" max="1" width="4.5703125" customWidth="1"/>
    <col min="2" max="2" width="45.7109375" customWidth="1"/>
    <col min="3" max="3" width="9.42578125" customWidth="1"/>
    <col min="4" max="4" width="8.7109375" customWidth="1"/>
    <col min="5" max="5" width="8.85546875" customWidth="1"/>
    <col min="6" max="7" width="9.42578125" customWidth="1"/>
    <col min="8" max="8" width="9.140625" customWidth="1"/>
    <col min="9" max="9" width="8.85546875" customWidth="1"/>
    <col min="10" max="10" width="9" customWidth="1"/>
    <col min="11" max="12" width="9.42578125" customWidth="1"/>
    <col min="13" max="13" width="9.140625" customWidth="1"/>
    <col min="14" max="14" width="9.42578125" customWidth="1"/>
    <col min="15" max="15" width="16" customWidth="1"/>
    <col min="16" max="16" width="13.85546875" customWidth="1"/>
    <col min="17" max="17" width="14.85546875" customWidth="1"/>
  </cols>
  <sheetData>
    <row r="1" spans="1:31" x14ac:dyDescent="0.25">
      <c r="A1" s="37" t="s">
        <v>19</v>
      </c>
      <c r="B1" s="12"/>
      <c r="C1" s="12"/>
      <c r="D1" s="12"/>
      <c r="E1" s="12"/>
      <c r="F1" s="12"/>
      <c r="G1" s="12"/>
      <c r="H1" s="12"/>
      <c r="I1" s="29"/>
      <c r="J1" s="12"/>
      <c r="K1" s="12"/>
      <c r="L1" s="12"/>
      <c r="M1" s="12"/>
      <c r="N1" s="12"/>
      <c r="O1" s="29" t="s">
        <v>0</v>
      </c>
      <c r="P1" s="12"/>
      <c r="Q1" s="12"/>
      <c r="R1" s="12"/>
      <c r="S1" s="12"/>
    </row>
    <row r="2" spans="1:31" ht="41.25" customHeight="1" x14ac:dyDescent="0.25">
      <c r="A2" s="25" t="s">
        <v>18</v>
      </c>
      <c r="B2" s="13"/>
      <c r="C2" s="13"/>
      <c r="D2" s="13"/>
      <c r="E2" s="145"/>
      <c r="F2" s="145"/>
      <c r="G2" s="145"/>
      <c r="H2" s="47"/>
      <c r="I2" s="141"/>
      <c r="J2" s="141"/>
      <c r="K2" s="141"/>
      <c r="L2" s="141"/>
      <c r="M2" s="141"/>
      <c r="N2" s="141"/>
      <c r="O2" s="147" t="s">
        <v>37</v>
      </c>
      <c r="P2" s="147"/>
      <c r="Q2" s="147"/>
      <c r="R2" s="13"/>
      <c r="S2" s="13"/>
    </row>
    <row r="3" spans="1:31" x14ac:dyDescent="0.25">
      <c r="A3" s="11"/>
      <c r="B3" s="12"/>
      <c r="C3" s="12"/>
      <c r="D3" s="12"/>
      <c r="E3" s="12"/>
      <c r="F3" s="12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</row>
    <row r="4" spans="1:31" x14ac:dyDescent="0.25">
      <c r="A4" s="11" t="s">
        <v>20</v>
      </c>
      <c r="B4" s="12"/>
      <c r="C4" s="12"/>
      <c r="D4" s="12"/>
      <c r="E4" s="12"/>
      <c r="F4" s="12"/>
      <c r="G4" s="12"/>
      <c r="H4" s="12"/>
      <c r="I4" s="11"/>
      <c r="J4" s="11"/>
      <c r="K4" s="11"/>
      <c r="L4" s="11"/>
      <c r="M4" s="11"/>
      <c r="N4" s="11"/>
      <c r="O4" s="11" t="s">
        <v>35</v>
      </c>
      <c r="P4" s="11"/>
      <c r="Q4" s="11"/>
      <c r="R4" s="11"/>
      <c r="S4" s="11"/>
    </row>
    <row r="5" spans="1:31" x14ac:dyDescent="0.25">
      <c r="A5" s="11"/>
      <c r="B5" s="11"/>
      <c r="C5" s="14"/>
      <c r="D5" s="14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1:31" ht="15.75" x14ac:dyDescent="0.25">
      <c r="A6" s="143" t="s">
        <v>1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</row>
    <row r="7" spans="1:31" ht="15.75" x14ac:dyDescent="0.25">
      <c r="A7" s="143" t="s">
        <v>36</v>
      </c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</row>
    <row r="8" spans="1:31" ht="15.75" customHeight="1" x14ac:dyDescent="0.25">
      <c r="A8" s="144" t="s">
        <v>41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</row>
    <row r="9" spans="1:31" x14ac:dyDescent="0.25">
      <c r="A9" s="15"/>
      <c r="B9" s="15"/>
      <c r="C9" s="15"/>
      <c r="D9" s="15"/>
      <c r="E9" s="15"/>
      <c r="F9" s="15"/>
      <c r="G9" s="15"/>
      <c r="H9" s="15"/>
      <c r="I9" s="11"/>
      <c r="J9" s="11"/>
      <c r="K9" s="11"/>
      <c r="L9" s="11"/>
      <c r="M9" s="11"/>
      <c r="N9" s="11"/>
    </row>
    <row r="10" spans="1:31" x14ac:dyDescent="0.25">
      <c r="A10" s="193" t="s">
        <v>82</v>
      </c>
      <c r="B10" s="193"/>
      <c r="C10" s="193"/>
      <c r="D10" s="193"/>
      <c r="E10" s="193"/>
      <c r="F10" s="193"/>
      <c r="G10" s="193"/>
      <c r="H10" s="193"/>
      <c r="I10" s="193"/>
      <c r="J10" s="193"/>
      <c r="K10" s="193"/>
      <c r="L10" s="193"/>
      <c r="M10" s="193"/>
      <c r="N10" s="193"/>
      <c r="O10" s="193"/>
      <c r="P10" s="193"/>
      <c r="Q10" s="193"/>
    </row>
    <row r="11" spans="1:31" ht="30.75" customHeight="1" x14ac:dyDescent="0.25">
      <c r="A11" s="183" t="s">
        <v>3</v>
      </c>
      <c r="B11" s="186" t="s">
        <v>31</v>
      </c>
      <c r="C11" s="170" t="s">
        <v>67</v>
      </c>
      <c r="D11" s="170"/>
      <c r="E11" s="136" t="s">
        <v>68</v>
      </c>
      <c r="F11" s="136"/>
      <c r="G11" s="136" t="s">
        <v>69</v>
      </c>
      <c r="H11" s="136"/>
      <c r="I11" s="170" t="s">
        <v>70</v>
      </c>
      <c r="J11" s="170"/>
      <c r="K11" s="136" t="s">
        <v>71</v>
      </c>
      <c r="L11" s="136"/>
      <c r="M11" s="136" t="s">
        <v>72</v>
      </c>
      <c r="N11" s="136"/>
      <c r="O11" s="136" t="s">
        <v>73</v>
      </c>
      <c r="P11" s="164" t="s">
        <v>74</v>
      </c>
      <c r="Q11" s="136" t="s">
        <v>75</v>
      </c>
    </row>
    <row r="12" spans="1:31" ht="24.75" customHeight="1" x14ac:dyDescent="0.25">
      <c r="A12" s="184"/>
      <c r="B12" s="187"/>
      <c r="C12" s="170"/>
      <c r="D12" s="170"/>
      <c r="E12" s="136"/>
      <c r="F12" s="136"/>
      <c r="G12" s="136"/>
      <c r="H12" s="136"/>
      <c r="I12" s="170"/>
      <c r="J12" s="170"/>
      <c r="K12" s="136"/>
      <c r="L12" s="136"/>
      <c r="M12" s="136"/>
      <c r="N12" s="136"/>
      <c r="O12" s="136"/>
      <c r="P12" s="165"/>
      <c r="Q12" s="136"/>
    </row>
    <row r="13" spans="1:31" ht="17.25" customHeight="1" x14ac:dyDescent="0.25">
      <c r="A13" s="185"/>
      <c r="B13" s="188"/>
      <c r="C13" s="172" t="s">
        <v>76</v>
      </c>
      <c r="D13" s="173"/>
      <c r="E13" s="174" t="s">
        <v>76</v>
      </c>
      <c r="F13" s="175"/>
      <c r="G13" s="174" t="s">
        <v>76</v>
      </c>
      <c r="H13" s="175"/>
      <c r="I13" s="174" t="s">
        <v>76</v>
      </c>
      <c r="J13" s="175"/>
      <c r="K13" s="174" t="s">
        <v>76</v>
      </c>
      <c r="L13" s="175"/>
      <c r="M13" s="174" t="s">
        <v>76</v>
      </c>
      <c r="N13" s="175"/>
      <c r="O13" s="92" t="s">
        <v>76</v>
      </c>
      <c r="P13" s="92" t="s">
        <v>25</v>
      </c>
      <c r="Q13" s="92" t="s">
        <v>93</v>
      </c>
    </row>
    <row r="14" spans="1:31" x14ac:dyDescent="0.25">
      <c r="A14" s="26">
        <v>1</v>
      </c>
      <c r="B14" s="26" t="s">
        <v>4</v>
      </c>
      <c r="C14" s="27"/>
      <c r="D14" s="27"/>
      <c r="E14" s="28"/>
      <c r="F14" s="28"/>
      <c r="G14" s="28"/>
      <c r="H14" s="28"/>
      <c r="I14" s="27"/>
      <c r="J14" s="27"/>
      <c r="K14" s="28"/>
      <c r="L14" s="28"/>
      <c r="M14" s="28"/>
      <c r="N14" s="28"/>
      <c r="O14" s="28"/>
      <c r="P14" s="28"/>
      <c r="Q14" s="2"/>
    </row>
    <row r="15" spans="1:31" x14ac:dyDescent="0.25">
      <c r="A15" s="36"/>
      <c r="B15" s="36" t="s">
        <v>5</v>
      </c>
      <c r="C15" s="181">
        <f>C17+4856/21*6</f>
        <v>2536.0503105590064</v>
      </c>
      <c r="D15" s="182"/>
      <c r="E15" s="181">
        <f t="shared" ref="E15" si="0">E17+4856/21*6</f>
        <v>2984.8503105590062</v>
      </c>
      <c r="F15" s="182"/>
      <c r="G15" s="181">
        <f t="shared" ref="G15" si="1">G17+4856/21*6</f>
        <v>2789.2503105590067</v>
      </c>
      <c r="H15" s="182"/>
      <c r="I15" s="181">
        <f t="shared" ref="I15" si="2">I17+4856/21*6</f>
        <v>2706.4503105590065</v>
      </c>
      <c r="J15" s="182"/>
      <c r="K15" s="181">
        <f t="shared" ref="K15" si="3">K17+4856/21*6</f>
        <v>2656.0503105590064</v>
      </c>
      <c r="L15" s="182"/>
      <c r="M15" s="181">
        <f t="shared" ref="M15:O15" si="4">M17+4856/21*6</f>
        <v>2835.0503105590064</v>
      </c>
      <c r="N15" s="182"/>
      <c r="O15" s="97">
        <f t="shared" si="4"/>
        <v>4871.4133540372677</v>
      </c>
      <c r="P15" s="97">
        <f>P17+4856/21*5</f>
        <v>6611.1665631469978</v>
      </c>
      <c r="Q15" s="97">
        <f>Q17+4856</f>
        <v>4856</v>
      </c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31" x14ac:dyDescent="0.25">
      <c r="A16" s="36"/>
      <c r="B16" s="36" t="s">
        <v>6</v>
      </c>
      <c r="C16" s="181">
        <f>C17+1945/21*6</f>
        <v>1704.3360248447207</v>
      </c>
      <c r="D16" s="182"/>
      <c r="E16" s="181">
        <f t="shared" ref="E16" si="5">E17+1945/21*6</f>
        <v>2153.1360248447209</v>
      </c>
      <c r="F16" s="182"/>
      <c r="G16" s="181">
        <f t="shared" ref="G16" si="6">G17+1945/21*6</f>
        <v>1957.5360248447207</v>
      </c>
      <c r="H16" s="182"/>
      <c r="I16" s="181">
        <f t="shared" ref="I16" si="7">I17+1945/21*6</f>
        <v>1874.7360248447208</v>
      </c>
      <c r="J16" s="182"/>
      <c r="K16" s="181">
        <f t="shared" ref="K16" si="8">K17+1945/21*6</f>
        <v>1824.3360248447207</v>
      </c>
      <c r="L16" s="182"/>
      <c r="M16" s="181">
        <f t="shared" ref="M16" si="9">M17+1945/21*6</f>
        <v>2003.3360248447207</v>
      </c>
      <c r="N16" s="182"/>
      <c r="O16" s="97">
        <f t="shared" ref="O16" si="10">O17+1945/21*6</f>
        <v>4039.6990683229819</v>
      </c>
      <c r="P16" s="97">
        <f>P17+1945/21*5</f>
        <v>5918.0713250517601</v>
      </c>
      <c r="Q16" s="97">
        <f>Q17+1945</f>
        <v>1945</v>
      </c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 x14ac:dyDescent="0.25">
      <c r="A17" s="36"/>
      <c r="B17" s="36" t="s">
        <v>7</v>
      </c>
      <c r="C17" s="181">
        <f>'пол ст-ть ЛПК 2'!C17:D17*0.2</f>
        <v>1148.6217391304349</v>
      </c>
      <c r="D17" s="182"/>
      <c r="E17" s="181">
        <f>'пол ст-ть ЛПК 2'!E17:F17*0.2</f>
        <v>1597.4217391304348</v>
      </c>
      <c r="F17" s="182"/>
      <c r="G17" s="181">
        <f>'пол ст-ть ЛПК 2'!G17:H17*0.2</f>
        <v>1401.8217391304349</v>
      </c>
      <c r="H17" s="182"/>
      <c r="I17" s="181">
        <f>'пол ст-ть ЛПК 2'!I17:J17*0.2</f>
        <v>1319.021739130435</v>
      </c>
      <c r="J17" s="182"/>
      <c r="K17" s="181">
        <f>'пол ст-ть ЛПК 2'!K17:L17*0.2</f>
        <v>1268.6217391304349</v>
      </c>
      <c r="L17" s="182"/>
      <c r="M17" s="181">
        <f>'пол ст-ть ЛПК 2'!M17:N17*0.2</f>
        <v>1447.6217391304349</v>
      </c>
      <c r="N17" s="182"/>
      <c r="O17" s="97">
        <f>'пол ст-ть ЛПК 2'!O17:O17*0.2</f>
        <v>3483.9847826086962</v>
      </c>
      <c r="P17" s="97">
        <f>'пол ст-ть ЛПК 2'!O17:P17*0.2</f>
        <v>5454.9760869565216</v>
      </c>
      <c r="Q17" s="97">
        <f>'пол ст-ть ЛПК 2'!P17:Q17*0.2</f>
        <v>0</v>
      </c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 x14ac:dyDescent="0.25">
      <c r="A18" s="28"/>
      <c r="B18" s="28" t="s">
        <v>8</v>
      </c>
      <c r="C18" s="189">
        <f>C17+19093/21*6</f>
        <v>6603.7645962732913</v>
      </c>
      <c r="D18" s="190"/>
      <c r="E18" s="189">
        <f t="shared" ref="E18" si="11">E17+19093/21*6</f>
        <v>7052.5645962732915</v>
      </c>
      <c r="F18" s="190"/>
      <c r="G18" s="189">
        <f t="shared" ref="G18" si="12">G17+19093/21*6</f>
        <v>6856.964596273292</v>
      </c>
      <c r="H18" s="190"/>
      <c r="I18" s="189">
        <f t="shared" ref="I18" si="13">I17+19093/21*6</f>
        <v>6774.1645962732919</v>
      </c>
      <c r="J18" s="190"/>
      <c r="K18" s="189">
        <f t="shared" ref="K18" si="14">K17+19093/21*6</f>
        <v>6723.7645962732913</v>
      </c>
      <c r="L18" s="190"/>
      <c r="M18" s="189">
        <f t="shared" ref="M18" si="15">M17+19093/21*6</f>
        <v>6902.7645962732913</v>
      </c>
      <c r="N18" s="190"/>
      <c r="O18" s="98">
        <f t="shared" ref="O18" si="16">O17+19093/21*6</f>
        <v>8939.1276397515539</v>
      </c>
      <c r="P18" s="98">
        <f>P17+19093/21*5</f>
        <v>10000.928467908903</v>
      </c>
      <c r="Q18" s="98">
        <f>Q17+19093</f>
        <v>19093</v>
      </c>
    </row>
    <row r="19" spans="1:31" x14ac:dyDescent="0.25">
      <c r="A19" s="26">
        <v>2</v>
      </c>
      <c r="B19" s="26" t="s">
        <v>9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117"/>
      <c r="R19" s="99"/>
    </row>
    <row r="20" spans="1:31" x14ac:dyDescent="0.25">
      <c r="A20" s="36"/>
      <c r="B20" s="36" t="s">
        <v>5</v>
      </c>
      <c r="C20" s="181">
        <f>C22+4856/21*6</f>
        <v>2724.0925177520003</v>
      </c>
      <c r="D20" s="182"/>
      <c r="E20" s="181">
        <f>E22+4856/21*6</f>
        <v>3172.8925177520005</v>
      </c>
      <c r="F20" s="182"/>
      <c r="G20" s="181">
        <f>G22+4856/21*6</f>
        <v>2977.2925177520001</v>
      </c>
      <c r="H20" s="182"/>
      <c r="I20" s="181">
        <f>I22+4856/21*6</f>
        <v>2894.4925177520004</v>
      </c>
      <c r="J20" s="182"/>
      <c r="K20" s="181">
        <f>K22+4856/21*6</f>
        <v>2844.0925177520003</v>
      </c>
      <c r="L20" s="182"/>
      <c r="M20" s="181">
        <f>M22+4856/21*6</f>
        <v>3023.0925177520003</v>
      </c>
      <c r="N20" s="182"/>
      <c r="O20" s="97">
        <f>O22+4856/21*6</f>
        <v>5028.1151933647625</v>
      </c>
      <c r="P20" s="97">
        <f>P22+4856/21*5</f>
        <v>7269.3142883224773</v>
      </c>
      <c r="Q20" s="97">
        <f>Q22+4586</f>
        <v>4586</v>
      </c>
      <c r="R20" s="99"/>
    </row>
    <row r="21" spans="1:31" x14ac:dyDescent="0.25">
      <c r="A21" s="36"/>
      <c r="B21" s="36" t="s">
        <v>6</v>
      </c>
      <c r="C21" s="181">
        <f>C22+1945/21*6</f>
        <v>1892.3782320377145</v>
      </c>
      <c r="D21" s="182"/>
      <c r="E21" s="181">
        <f>E22+1945/21*6</f>
        <v>2341.1782320377142</v>
      </c>
      <c r="F21" s="182"/>
      <c r="G21" s="181">
        <f>G22+1945/21*6</f>
        <v>2145.5782320377148</v>
      </c>
      <c r="H21" s="182"/>
      <c r="I21" s="181">
        <f>I22+1945/21*6</f>
        <v>2062.7782320377146</v>
      </c>
      <c r="J21" s="182"/>
      <c r="K21" s="181">
        <f>K22+1945/21*6</f>
        <v>2012.3782320377145</v>
      </c>
      <c r="L21" s="182"/>
      <c r="M21" s="181">
        <f>M22+1945/21*6</f>
        <v>2191.3782320377145</v>
      </c>
      <c r="N21" s="182"/>
      <c r="O21" s="97">
        <f>O22+1945/21*6</f>
        <v>4196.4009076504772</v>
      </c>
      <c r="P21" s="97">
        <f>P22+1945/21*5</f>
        <v>6576.2190502272388</v>
      </c>
      <c r="Q21" s="97">
        <f>Q22+1945</f>
        <v>1945</v>
      </c>
      <c r="R21" s="100"/>
    </row>
    <row r="22" spans="1:31" x14ac:dyDescent="0.25">
      <c r="A22" s="36"/>
      <c r="B22" s="36" t="s">
        <v>7</v>
      </c>
      <c r="C22" s="181">
        <f>'пол ст-ть ЛПК 2'!C22:D22*0.2</f>
        <v>1336.6639463234287</v>
      </c>
      <c r="D22" s="182"/>
      <c r="E22" s="181">
        <f>'пол ст-ть ЛПК 2'!E22:F22*0.2</f>
        <v>1785.4639463234287</v>
      </c>
      <c r="F22" s="182"/>
      <c r="G22" s="181">
        <f>'пол ст-ть ЛПК 2'!G22:H22*0.2</f>
        <v>1589.8639463234288</v>
      </c>
      <c r="H22" s="182"/>
      <c r="I22" s="181">
        <f>'пол ст-ть ЛПК 2'!I22:J22*0.2</f>
        <v>1507.0639463234288</v>
      </c>
      <c r="J22" s="182"/>
      <c r="K22" s="181">
        <f>'пол ст-ть ЛПК 2'!K22:L22*0.2</f>
        <v>1456.6639463234287</v>
      </c>
      <c r="L22" s="182"/>
      <c r="M22" s="181">
        <f>'пол ст-ть ЛПК 2'!M22:N22*0.2</f>
        <v>1635.6639463234287</v>
      </c>
      <c r="N22" s="182"/>
      <c r="O22" s="97">
        <f>'пол ст-ть ЛПК 2'!O22:O22*0.2</f>
        <v>3640.6866219361909</v>
      </c>
      <c r="P22" s="97">
        <f>'пол ст-ть ЛПК 2'!O22:P22*0.2</f>
        <v>6113.1238121320011</v>
      </c>
      <c r="Q22" s="97">
        <f>'пол ст-ть ЛПК 2'!P22:Q22*0.2</f>
        <v>0</v>
      </c>
      <c r="R22" s="99"/>
    </row>
    <row r="23" spans="1:31" x14ac:dyDescent="0.25">
      <c r="A23" s="28"/>
      <c r="B23" s="28" t="s">
        <v>8</v>
      </c>
      <c r="C23" s="191">
        <f>C22+19093/21*6</f>
        <v>6791.8068034662856</v>
      </c>
      <c r="D23" s="192"/>
      <c r="E23" s="191">
        <f>E22+19093/21*6</f>
        <v>7240.6068034662858</v>
      </c>
      <c r="F23" s="192"/>
      <c r="G23" s="191">
        <f>G22+19093/21*6</f>
        <v>7045.0068034662854</v>
      </c>
      <c r="H23" s="192"/>
      <c r="I23" s="191">
        <f>I22+19093/21*6</f>
        <v>6962.2068034662861</v>
      </c>
      <c r="J23" s="192"/>
      <c r="K23" s="191">
        <f>K22+19093/21*6</f>
        <v>6911.8068034662856</v>
      </c>
      <c r="L23" s="192"/>
      <c r="M23" s="191">
        <f>M22+19093/21*6</f>
        <v>7090.8068034662856</v>
      </c>
      <c r="N23" s="192"/>
      <c r="O23" s="98">
        <f>O22+19093/21*6</f>
        <v>9095.8294790790478</v>
      </c>
      <c r="P23" s="98">
        <f>P22+19093/21*5</f>
        <v>10659.076193084382</v>
      </c>
      <c r="Q23" s="98">
        <f>Q22+19093</f>
        <v>19093</v>
      </c>
      <c r="R23" s="99"/>
    </row>
    <row r="24" spans="1:31" x14ac:dyDescent="0.25">
      <c r="A24" s="26">
        <v>3</v>
      </c>
      <c r="B24" s="26" t="s">
        <v>10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117"/>
      <c r="R24" s="99"/>
    </row>
    <row r="25" spans="1:31" x14ac:dyDescent="0.25">
      <c r="A25" s="36"/>
      <c r="B25" s="36" t="s">
        <v>5</v>
      </c>
      <c r="C25" s="181">
        <f>C27+4856/21*6</f>
        <v>2855.1248677248677</v>
      </c>
      <c r="D25" s="182"/>
      <c r="E25" s="181">
        <f t="shared" ref="E25" si="17">E27+4856/21*6</f>
        <v>3303.9248677248679</v>
      </c>
      <c r="F25" s="182"/>
      <c r="G25" s="181">
        <f t="shared" ref="G25" si="18">G27+4856/21*6</f>
        <v>3108.324867724868</v>
      </c>
      <c r="H25" s="182"/>
      <c r="I25" s="181">
        <f t="shared" ref="I25" si="19">I27+4856/21*6</f>
        <v>3025.5248677248678</v>
      </c>
      <c r="J25" s="182"/>
      <c r="K25" s="181">
        <f t="shared" ref="K25" si="20">K27+4856/21*6</f>
        <v>2975.1248677248677</v>
      </c>
      <c r="L25" s="182"/>
      <c r="M25" s="181">
        <f t="shared" ref="M25:O25" si="21">M27+4856/21*6</f>
        <v>3154.1248677248677</v>
      </c>
      <c r="N25" s="182"/>
      <c r="O25" s="97">
        <f t="shared" si="21"/>
        <v>5137.3088183421514</v>
      </c>
      <c r="P25" s="97">
        <f>P27+4856/21*5</f>
        <v>7727.9275132275134</v>
      </c>
      <c r="Q25" s="97">
        <f>Q27+4856</f>
        <v>4856</v>
      </c>
    </row>
    <row r="26" spans="1:31" x14ac:dyDescent="0.25">
      <c r="A26" s="36"/>
      <c r="B26" s="36" t="s">
        <v>6</v>
      </c>
      <c r="C26" s="181">
        <f>C27+1945/21*6</f>
        <v>2023.4105820105819</v>
      </c>
      <c r="D26" s="182"/>
      <c r="E26" s="181">
        <f t="shared" ref="E26" si="22">E27+1945/21*6</f>
        <v>2472.2105820105821</v>
      </c>
      <c r="F26" s="182"/>
      <c r="G26" s="181">
        <f t="shared" ref="G26" si="23">G27+1945/21*6</f>
        <v>2276.6105820105822</v>
      </c>
      <c r="H26" s="182"/>
      <c r="I26" s="181">
        <f t="shared" ref="I26" si="24">I27+1945/21*6</f>
        <v>2193.810582010582</v>
      </c>
      <c r="J26" s="182"/>
      <c r="K26" s="181">
        <f t="shared" ref="K26" si="25">K27+1945/21*6</f>
        <v>2143.4105820105819</v>
      </c>
      <c r="L26" s="182"/>
      <c r="M26" s="181">
        <f t="shared" ref="M26" si="26">M27+1945/21*6</f>
        <v>2322.4105820105824</v>
      </c>
      <c r="N26" s="182"/>
      <c r="O26" s="97">
        <f t="shared" ref="O26" si="27">O27+1945/21*6</f>
        <v>4305.5945326278661</v>
      </c>
      <c r="P26" s="97">
        <f>P27+1945/21*5</f>
        <v>7034.8322751322758</v>
      </c>
      <c r="Q26" s="97">
        <f>Q27+1945</f>
        <v>1945</v>
      </c>
    </row>
    <row r="27" spans="1:31" x14ac:dyDescent="0.25">
      <c r="A27" s="36"/>
      <c r="B27" s="36" t="s">
        <v>7</v>
      </c>
      <c r="C27" s="181">
        <f>'пол ст-ть ЛПК 2'!C27:D27*0.2</f>
        <v>1467.6962962962962</v>
      </c>
      <c r="D27" s="182"/>
      <c r="E27" s="181">
        <f>'пол ст-ть ЛПК 2'!E27:F27*0.2</f>
        <v>1916.4962962962964</v>
      </c>
      <c r="F27" s="182"/>
      <c r="G27" s="181">
        <f>'пол ст-ть ЛПК 2'!G27:H27*0.2</f>
        <v>1720.8962962962964</v>
      </c>
      <c r="H27" s="182"/>
      <c r="I27" s="181">
        <f>'пол ст-ть ЛПК 2'!I27:J27*0.2</f>
        <v>1638.0962962962963</v>
      </c>
      <c r="J27" s="182"/>
      <c r="K27" s="181">
        <f>'пол ст-ть ЛПК 2'!K27:L27*0.2</f>
        <v>1587.6962962962962</v>
      </c>
      <c r="L27" s="182"/>
      <c r="M27" s="181">
        <f>'пол ст-ть ЛПК 2'!M27:N27*0.2</f>
        <v>1766.6962962962964</v>
      </c>
      <c r="N27" s="182"/>
      <c r="O27" s="97">
        <f>'пол ст-ть ЛПК 2'!O27:O27*0.2</f>
        <v>3749.8802469135803</v>
      </c>
      <c r="P27" s="97">
        <f>'пол ст-ть ЛПК 2'!O27:P27*0.2</f>
        <v>6571.7370370370372</v>
      </c>
      <c r="Q27" s="97">
        <f>'пол ст-ть ЛПК 2'!P27:Q27*0.2</f>
        <v>0</v>
      </c>
    </row>
    <row r="28" spans="1:31" x14ac:dyDescent="0.25">
      <c r="A28" s="28"/>
      <c r="B28" s="28" t="s">
        <v>8</v>
      </c>
      <c r="C28" s="189">
        <f>C27+19093/21*6</f>
        <v>6922.8391534391531</v>
      </c>
      <c r="D28" s="190"/>
      <c r="E28" s="189">
        <f t="shared" ref="E28" si="28">E27+19093/21*6</f>
        <v>7371.6391534391532</v>
      </c>
      <c r="F28" s="190"/>
      <c r="G28" s="189">
        <f t="shared" ref="G28" si="29">G27+19093/21*6</f>
        <v>7176.0391534391529</v>
      </c>
      <c r="H28" s="190"/>
      <c r="I28" s="189">
        <f t="shared" ref="I28" si="30">I27+19093/21*6</f>
        <v>7093.2391534391536</v>
      </c>
      <c r="J28" s="190"/>
      <c r="K28" s="189">
        <f t="shared" ref="K28" si="31">K27+19093/21*6</f>
        <v>7042.8391534391531</v>
      </c>
      <c r="L28" s="190"/>
      <c r="M28" s="189">
        <f t="shared" ref="M28" si="32">M27+19093/21*6</f>
        <v>7221.8391534391531</v>
      </c>
      <c r="N28" s="190"/>
      <c r="O28" s="98">
        <f t="shared" ref="O28" si="33">O27+19093/21*6</f>
        <v>9205.0231040564377</v>
      </c>
      <c r="P28" s="98">
        <f>P27+19093/21*5</f>
        <v>11117.689417989419</v>
      </c>
      <c r="Q28" s="98">
        <f>Q27+19093</f>
        <v>19093</v>
      </c>
    </row>
    <row r="29" spans="1:31" x14ac:dyDescent="0.25">
      <c r="A29" s="109">
        <v>4</v>
      </c>
      <c r="B29" s="26" t="s">
        <v>86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</row>
    <row r="30" spans="1:31" x14ac:dyDescent="0.25">
      <c r="A30" s="28"/>
      <c r="B30" s="28" t="s">
        <v>87</v>
      </c>
      <c r="C30" s="179">
        <f>'пол ст-ть ЛПК 2'!C30:D30*0.2</f>
        <v>838.57109048990139</v>
      </c>
      <c r="D30" s="180"/>
      <c r="E30" s="179">
        <f>'пол ст-ть ЛПК 2'!E30:F30*0.2</f>
        <v>1287.3710904899015</v>
      </c>
      <c r="F30" s="180"/>
      <c r="G30" s="179">
        <f>'пол ст-ть ЛПК 2'!G30:H30*0.2</f>
        <v>1091.7710904899013</v>
      </c>
      <c r="H30" s="180"/>
      <c r="I30" s="179">
        <f>'пол ст-ть ЛПК 2'!I30:J30*0.2</f>
        <v>1008.9710904899014</v>
      </c>
      <c r="J30" s="180"/>
      <c r="K30" s="179">
        <f>'пол ст-ть ЛПК 2'!K30:L30*0.2</f>
        <v>958.57109048990139</v>
      </c>
      <c r="L30" s="180"/>
      <c r="M30" s="179">
        <f>'пол ст-ть ЛПК 2'!M30:N30*0.2</f>
        <v>1137.5710904899013</v>
      </c>
      <c r="N30" s="180"/>
      <c r="O30" s="111">
        <f>'пол ст-ть ЛПК 2'!O30:O30*0.2</f>
        <v>3225.6092420749178</v>
      </c>
      <c r="P30" s="111">
        <f>'пол ст-ть ЛПК 2'!O30:P30*0.2</f>
        <v>4369.798816714655</v>
      </c>
      <c r="Q30" s="111">
        <f>'пол ст-ть ЛПК 2'!P30:Q30*0.2</f>
        <v>0</v>
      </c>
    </row>
    <row r="31" spans="1:31" x14ac:dyDescent="0.25">
      <c r="A31" s="107"/>
      <c r="B31" s="28" t="s">
        <v>88</v>
      </c>
      <c r="C31" s="179">
        <f>'пол ст-ть ЛПК 2'!C31:D31*0.2</f>
        <v>1023.7399590372861</v>
      </c>
      <c r="D31" s="180"/>
      <c r="E31" s="179">
        <f>'пол ст-ть ЛПК 2'!E31:F31*0.2</f>
        <v>1472.5399590372863</v>
      </c>
      <c r="F31" s="180"/>
      <c r="G31" s="179">
        <f>'пол ст-ть ЛПК 2'!G31:H31*0.2</f>
        <v>1276.9399590372861</v>
      </c>
      <c r="H31" s="180"/>
      <c r="I31" s="179">
        <f>'пол ст-ть ЛПК 2'!I31:J31*0.2</f>
        <v>1194.1399590372862</v>
      </c>
      <c r="J31" s="180"/>
      <c r="K31" s="179">
        <f>'пол ст-ть ЛПК 2'!K31:L31*0.2</f>
        <v>1143.7399590372861</v>
      </c>
      <c r="L31" s="180"/>
      <c r="M31" s="179">
        <f>'пол ст-ть ЛПК 2'!M31:N31*0.2</f>
        <v>1322.7399590372861</v>
      </c>
      <c r="N31" s="180"/>
      <c r="O31" s="111">
        <f>'пол ст-ть ЛПК 2'!O31:O31*0.2</f>
        <v>3379.9166325310721</v>
      </c>
      <c r="P31" s="111">
        <f>'пол ст-ть ЛПК 2'!O31:P31*0.2</f>
        <v>5017.8898566305015</v>
      </c>
      <c r="Q31" s="111">
        <f>'пол ст-ть ЛПК 2'!P31:Q31*0.2</f>
        <v>0</v>
      </c>
    </row>
    <row r="32" spans="1:31" x14ac:dyDescent="0.25">
      <c r="A32" s="107"/>
      <c r="B32" s="28" t="s">
        <v>89</v>
      </c>
      <c r="C32" s="179">
        <f>'пол ст-ть ЛПК 2'!C32:D32*0.2</f>
        <v>713.40079296822978</v>
      </c>
      <c r="D32" s="180"/>
      <c r="E32" s="179">
        <f>'пол ст-ть ЛПК 2'!E32:F32*0.2</f>
        <v>1162.20079296823</v>
      </c>
      <c r="F32" s="180"/>
      <c r="G32" s="179">
        <f>'пол ст-ть ЛПК 2'!G32:H32*0.2</f>
        <v>966.60079296822994</v>
      </c>
      <c r="H32" s="180"/>
      <c r="I32" s="179">
        <f>'пол ст-ть ЛПК 2'!I32:J32*0.2</f>
        <v>883.80079296822987</v>
      </c>
      <c r="J32" s="180"/>
      <c r="K32" s="179">
        <f>'пол ст-ть ЛПК 2'!K32:L32*0.2</f>
        <v>833.40079296822989</v>
      </c>
      <c r="L32" s="180"/>
      <c r="M32" s="179">
        <f>'пол ст-ть ЛПК 2'!M32:N32*0.2</f>
        <v>1012.4007929682299</v>
      </c>
      <c r="N32" s="180"/>
      <c r="O32" s="111">
        <f>'пол ст-ть ЛПК 2'!O32:O32*0.2</f>
        <v>3121.3006608068581</v>
      </c>
      <c r="P32" s="111">
        <f>'пол ст-ть ЛПК 2'!O32:P32*0.2</f>
        <v>3931.7027753888051</v>
      </c>
      <c r="Q32" s="111">
        <f>'пол ст-ть ЛПК 2'!P32:Q32*0.2</f>
        <v>0</v>
      </c>
    </row>
    <row r="33" spans="1:14" x14ac:dyDescent="0.25">
      <c r="A33" s="21"/>
      <c r="B33" s="21"/>
      <c r="C33" s="21"/>
      <c r="D33" s="21"/>
      <c r="E33" s="21"/>
      <c r="F33" s="21"/>
      <c r="G33" s="21"/>
      <c r="H33" s="21"/>
      <c r="I33" s="18"/>
      <c r="J33" s="18"/>
      <c r="K33" s="18"/>
      <c r="L33" s="18"/>
      <c r="M33" s="18"/>
      <c r="N33" s="11"/>
    </row>
    <row r="34" spans="1:14" x14ac:dyDescent="0.25">
      <c r="A34" s="48"/>
      <c r="B34" s="48"/>
      <c r="C34" s="48"/>
      <c r="D34" s="48"/>
      <c r="E34" s="48"/>
      <c r="F34" s="48"/>
      <c r="G34" s="48"/>
      <c r="H34" s="48"/>
      <c r="I34" s="11"/>
      <c r="J34" s="11"/>
      <c r="K34" s="11"/>
      <c r="L34" s="11"/>
      <c r="M34" s="11"/>
      <c r="N34" s="11"/>
    </row>
    <row r="35" spans="1:14" x14ac:dyDescent="0.25">
      <c r="A35" s="11"/>
      <c r="B35" s="11" t="s">
        <v>81</v>
      </c>
      <c r="C35" s="11"/>
      <c r="D35" s="11"/>
      <c r="E35" s="11"/>
      <c r="F35" s="11"/>
      <c r="G35" s="11" t="s">
        <v>42</v>
      </c>
      <c r="H35" s="11"/>
      <c r="I35" s="11"/>
      <c r="J35" s="11"/>
      <c r="K35" s="11"/>
      <c r="L35" s="11"/>
      <c r="M35" s="11"/>
      <c r="N35" s="11"/>
    </row>
    <row r="36" spans="1:14" x14ac:dyDescent="0.2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</row>
    <row r="37" spans="1:14" x14ac:dyDescent="0.25">
      <c r="A37" s="11"/>
      <c r="B37" s="11" t="s">
        <v>13</v>
      </c>
      <c r="C37" s="11"/>
      <c r="D37" s="11"/>
      <c r="E37" s="11"/>
      <c r="F37" s="11"/>
      <c r="G37" s="11" t="s">
        <v>14</v>
      </c>
      <c r="H37" s="11"/>
      <c r="I37" s="11"/>
      <c r="J37" s="11"/>
      <c r="K37" s="11"/>
      <c r="L37" s="11"/>
      <c r="M37" s="11"/>
      <c r="N37" s="11"/>
    </row>
    <row r="38" spans="1:14" x14ac:dyDescent="0.2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</row>
    <row r="39" spans="1:14" x14ac:dyDescent="0.25">
      <c r="A39" s="11"/>
      <c r="B39" s="11" t="s">
        <v>15</v>
      </c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</row>
    <row r="40" spans="1:14" ht="15" customHeight="1" x14ac:dyDescent="0.2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</row>
    <row r="41" spans="1:14" ht="15" customHeight="1" x14ac:dyDescent="0.25">
      <c r="A41" s="11"/>
      <c r="B41" s="11" t="s">
        <v>16</v>
      </c>
      <c r="C41" s="11"/>
      <c r="D41" s="11"/>
      <c r="E41" s="11"/>
      <c r="F41" s="11"/>
      <c r="G41" s="11" t="s">
        <v>30</v>
      </c>
      <c r="H41" s="11"/>
      <c r="I41" s="11"/>
      <c r="J41" s="11"/>
      <c r="K41" s="11"/>
      <c r="L41" s="11"/>
      <c r="M41" s="11"/>
      <c r="N41" s="11"/>
    </row>
    <row r="45" spans="1:14" x14ac:dyDescent="0.25">
      <c r="B45" s="1" t="s">
        <v>4</v>
      </c>
      <c r="C45" s="2"/>
    </row>
    <row r="46" spans="1:14" x14ac:dyDescent="0.25">
      <c r="B46" s="2" t="s">
        <v>5</v>
      </c>
      <c r="C46" s="2">
        <v>524</v>
      </c>
    </row>
    <row r="47" spans="1:14" x14ac:dyDescent="0.25">
      <c r="B47" s="2" t="s">
        <v>6</v>
      </c>
      <c r="C47" s="2">
        <v>399</v>
      </c>
      <c r="D47">
        <f>C47*10</f>
        <v>3990</v>
      </c>
    </row>
    <row r="48" spans="1:14" x14ac:dyDescent="0.25">
      <c r="B48" s="2" t="s">
        <v>7</v>
      </c>
      <c r="C48" s="2">
        <v>315</v>
      </c>
    </row>
    <row r="49" spans="2:3" x14ac:dyDescent="0.25">
      <c r="B49" s="2" t="s">
        <v>8</v>
      </c>
      <c r="C49" s="2">
        <v>1052</v>
      </c>
    </row>
    <row r="50" spans="2:3" x14ac:dyDescent="0.25">
      <c r="B50" s="1" t="s">
        <v>9</v>
      </c>
      <c r="C50" s="2"/>
    </row>
    <row r="51" spans="2:3" x14ac:dyDescent="0.25">
      <c r="B51" s="2" t="s">
        <v>5</v>
      </c>
      <c r="C51" s="2">
        <v>556</v>
      </c>
    </row>
    <row r="52" spans="2:3" x14ac:dyDescent="0.25">
      <c r="B52" s="2" t="s">
        <v>6</v>
      </c>
      <c r="C52" s="2">
        <v>431</v>
      </c>
    </row>
    <row r="53" spans="2:3" x14ac:dyDescent="0.25">
      <c r="B53" s="2" t="s">
        <v>7</v>
      </c>
      <c r="C53" s="2">
        <v>348</v>
      </c>
    </row>
    <row r="54" spans="2:3" x14ac:dyDescent="0.25">
      <c r="B54" s="2" t="s">
        <v>8</v>
      </c>
      <c r="C54" s="2">
        <v>1093</v>
      </c>
    </row>
    <row r="55" spans="2:3" x14ac:dyDescent="0.25">
      <c r="B55" s="1" t="s">
        <v>10</v>
      </c>
      <c r="C55" s="2"/>
    </row>
    <row r="56" spans="2:3" x14ac:dyDescent="0.25">
      <c r="B56" s="2" t="s">
        <v>5</v>
      </c>
      <c r="C56" s="2">
        <v>578</v>
      </c>
    </row>
    <row r="57" spans="2:3" x14ac:dyDescent="0.25">
      <c r="B57" s="2" t="s">
        <v>6</v>
      </c>
      <c r="C57" s="2">
        <v>454</v>
      </c>
    </row>
    <row r="58" spans="2:3" x14ac:dyDescent="0.25">
      <c r="B58" s="2" t="s">
        <v>7</v>
      </c>
      <c r="C58" s="2">
        <v>370</v>
      </c>
    </row>
    <row r="59" spans="2:3" x14ac:dyDescent="0.25">
      <c r="B59" s="2" t="s">
        <v>8</v>
      </c>
      <c r="C59" s="2">
        <v>1143</v>
      </c>
    </row>
  </sheetData>
  <mergeCells count="114">
    <mergeCell ref="O2:Q2"/>
    <mergeCell ref="A10:Q10"/>
    <mergeCell ref="M23:N23"/>
    <mergeCell ref="M25:N25"/>
    <mergeCell ref="M26:N26"/>
    <mergeCell ref="M15:N15"/>
    <mergeCell ref="M16:N16"/>
    <mergeCell ref="M17:N17"/>
    <mergeCell ref="M18:N18"/>
    <mergeCell ref="M20:N20"/>
    <mergeCell ref="M21:N21"/>
    <mergeCell ref="M22:N22"/>
    <mergeCell ref="K18:L18"/>
    <mergeCell ref="K20:L20"/>
    <mergeCell ref="K21:L21"/>
    <mergeCell ref="K22:L22"/>
    <mergeCell ref="K23:L23"/>
    <mergeCell ref="K25:L25"/>
    <mergeCell ref="I22:J22"/>
    <mergeCell ref="I23:J23"/>
    <mergeCell ref="I25:J25"/>
    <mergeCell ref="K13:L13"/>
    <mergeCell ref="E2:G2"/>
    <mergeCell ref="I2:N2"/>
    <mergeCell ref="M27:N27"/>
    <mergeCell ref="M28:N28"/>
    <mergeCell ref="K26:L26"/>
    <mergeCell ref="K27:L27"/>
    <mergeCell ref="K28:L28"/>
    <mergeCell ref="I26:J26"/>
    <mergeCell ref="I27:J27"/>
    <mergeCell ref="I28:J28"/>
    <mergeCell ref="I15:J15"/>
    <mergeCell ref="I16:J16"/>
    <mergeCell ref="I17:J17"/>
    <mergeCell ref="I18:J18"/>
    <mergeCell ref="I20:J20"/>
    <mergeCell ref="I21:J21"/>
    <mergeCell ref="E27:F27"/>
    <mergeCell ref="G28:H28"/>
    <mergeCell ref="G15:H15"/>
    <mergeCell ref="G16:H16"/>
    <mergeCell ref="G17:H17"/>
    <mergeCell ref="G18:H18"/>
    <mergeCell ref="G20:H20"/>
    <mergeCell ref="G21:H21"/>
    <mergeCell ref="G22:H22"/>
    <mergeCell ref="G23:H23"/>
    <mergeCell ref="G25:H25"/>
    <mergeCell ref="G26:H26"/>
    <mergeCell ref="G27:H27"/>
    <mergeCell ref="E28:F28"/>
    <mergeCell ref="E15:F15"/>
    <mergeCell ref="E16:F16"/>
    <mergeCell ref="E17:F17"/>
    <mergeCell ref="E18:F18"/>
    <mergeCell ref="E20:F20"/>
    <mergeCell ref="E21:F21"/>
    <mergeCell ref="E22:F22"/>
    <mergeCell ref="E23:F23"/>
    <mergeCell ref="E25:F25"/>
    <mergeCell ref="E26:F26"/>
    <mergeCell ref="C28:D28"/>
    <mergeCell ref="C15:D15"/>
    <mergeCell ref="C16:D16"/>
    <mergeCell ref="C17:D17"/>
    <mergeCell ref="C18:D18"/>
    <mergeCell ref="C20:D20"/>
    <mergeCell ref="C21:D21"/>
    <mergeCell ref="C22:D22"/>
    <mergeCell ref="C23:D23"/>
    <mergeCell ref="C25:D25"/>
    <mergeCell ref="C26:D26"/>
    <mergeCell ref="C27:D27"/>
    <mergeCell ref="A6:N6"/>
    <mergeCell ref="A7:N7"/>
    <mergeCell ref="A8:N8"/>
    <mergeCell ref="Q11:Q12"/>
    <mergeCell ref="K15:L15"/>
    <mergeCell ref="K16:L16"/>
    <mergeCell ref="K17:L17"/>
    <mergeCell ref="A11:A13"/>
    <mergeCell ref="B11:B13"/>
    <mergeCell ref="C11:D12"/>
    <mergeCell ref="E11:F12"/>
    <mergeCell ref="G11:H12"/>
    <mergeCell ref="I11:J12"/>
    <mergeCell ref="M13:N13"/>
    <mergeCell ref="K11:L12"/>
    <mergeCell ref="M11:N12"/>
    <mergeCell ref="O11:O12"/>
    <mergeCell ref="P11:P12"/>
    <mergeCell ref="C13:D13"/>
    <mergeCell ref="E13:F13"/>
    <mergeCell ref="G13:H13"/>
    <mergeCell ref="I13:J13"/>
    <mergeCell ref="M32:N32"/>
    <mergeCell ref="C32:D32"/>
    <mergeCell ref="E32:F32"/>
    <mergeCell ref="G32:H32"/>
    <mergeCell ref="I32:J32"/>
    <mergeCell ref="K32:L32"/>
    <mergeCell ref="M30:N30"/>
    <mergeCell ref="C31:D31"/>
    <mergeCell ref="E31:F31"/>
    <mergeCell ref="G31:H31"/>
    <mergeCell ref="I31:J31"/>
    <mergeCell ref="K31:L31"/>
    <mergeCell ref="M31:N31"/>
    <mergeCell ref="C30:D30"/>
    <mergeCell ref="E30:F30"/>
    <mergeCell ref="G30:H30"/>
    <mergeCell ref="I30:J30"/>
    <mergeCell ref="K30:L30"/>
  </mergeCells>
  <pageMargins left="0.7" right="0.7" top="0.75" bottom="0.75" header="0.3" footer="0.3"/>
  <pageSetup paperSize="9" scale="62" orientation="landscape" r:id="rId1"/>
  <rowBreaks count="1" manualBreakCount="1">
    <brk id="42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3"/>
  <sheetViews>
    <sheetView view="pageBreakPreview" topLeftCell="A10" zoomScale="60" zoomScaleNormal="75" workbookViewId="0">
      <selection activeCell="A35" sqref="A35"/>
    </sheetView>
  </sheetViews>
  <sheetFormatPr defaultRowHeight="15" x14ac:dyDescent="0.25"/>
  <cols>
    <col min="1" max="1" width="4" customWidth="1"/>
    <col min="2" max="2" width="45.7109375" customWidth="1"/>
    <col min="3" max="3" width="8.7109375" customWidth="1"/>
    <col min="4" max="4" width="6.28515625" customWidth="1"/>
    <col min="5" max="5" width="10.85546875" customWidth="1"/>
    <col min="6" max="6" width="9.85546875" customWidth="1"/>
    <col min="7" max="7" width="8.7109375" customWidth="1"/>
    <col min="8" max="8" width="6.42578125" customWidth="1"/>
    <col min="9" max="9" width="9.42578125" customWidth="1"/>
    <col min="10" max="10" width="4.85546875" customWidth="1"/>
    <col min="11" max="11" width="9.7109375" customWidth="1"/>
    <col min="12" max="12" width="3.7109375" customWidth="1"/>
    <col min="13" max="13" width="8.7109375" customWidth="1"/>
    <col min="14" max="14" width="4.140625" customWidth="1"/>
    <col min="15" max="15" width="15" customWidth="1"/>
    <col min="16" max="16" width="13.28515625" customWidth="1"/>
    <col min="17" max="17" width="13.7109375" customWidth="1"/>
    <col min="18" max="18" width="9.140625" customWidth="1"/>
    <col min="31" max="31" width="9.140625" customWidth="1"/>
  </cols>
  <sheetData>
    <row r="1" spans="1:19" x14ac:dyDescent="0.25">
      <c r="A1" s="11"/>
      <c r="B1" s="137"/>
      <c r="C1" s="137"/>
      <c r="D1" s="137"/>
      <c r="E1" s="137"/>
      <c r="F1" s="137"/>
      <c r="G1" s="11"/>
      <c r="H1" s="11"/>
      <c r="I1" s="11"/>
      <c r="J1" s="135"/>
      <c r="K1" s="135"/>
      <c r="L1" s="135"/>
      <c r="M1" s="135"/>
      <c r="N1" s="11"/>
      <c r="O1" s="135" t="s">
        <v>0</v>
      </c>
      <c r="P1" s="135"/>
      <c r="Q1" s="135"/>
      <c r="R1" s="135"/>
      <c r="S1" s="11"/>
    </row>
    <row r="2" spans="1:19" ht="15.75" customHeight="1" x14ac:dyDescent="0.25">
      <c r="A2" s="11"/>
      <c r="B2" s="13"/>
      <c r="C2" s="13"/>
      <c r="D2" s="147"/>
      <c r="E2" s="147"/>
      <c r="F2" s="147"/>
      <c r="G2" s="11"/>
      <c r="H2" s="11"/>
      <c r="I2" s="11"/>
      <c r="J2" s="11"/>
      <c r="K2" s="11"/>
      <c r="L2" s="11"/>
      <c r="M2" s="11"/>
      <c r="N2" s="11"/>
      <c r="O2" s="11" t="s">
        <v>32</v>
      </c>
      <c r="P2" s="11"/>
      <c r="Q2" s="11"/>
      <c r="R2" s="11"/>
      <c r="S2" s="11"/>
    </row>
    <row r="3" spans="1:19" x14ac:dyDescent="0.25">
      <c r="A3" s="11"/>
      <c r="B3" s="135"/>
      <c r="C3" s="135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 t="s">
        <v>33</v>
      </c>
      <c r="P3" s="11"/>
      <c r="Q3" s="11"/>
      <c r="R3" s="11"/>
      <c r="S3" s="11"/>
    </row>
    <row r="4" spans="1:19" x14ac:dyDescent="0.25">
      <c r="A4" s="11"/>
      <c r="B4" s="12"/>
      <c r="C4" s="12"/>
      <c r="D4" s="12"/>
      <c r="E4" s="12"/>
      <c r="F4" s="11"/>
      <c r="G4" s="11"/>
      <c r="H4" s="11"/>
      <c r="I4" s="11"/>
      <c r="J4" s="11"/>
      <c r="K4" s="11"/>
      <c r="L4" s="11"/>
      <c r="M4" s="11"/>
      <c r="N4" s="11"/>
      <c r="O4" s="11" t="s">
        <v>40</v>
      </c>
      <c r="P4" s="11"/>
      <c r="Q4" s="11"/>
      <c r="R4" s="11"/>
      <c r="S4" s="11"/>
    </row>
    <row r="5" spans="1:19" x14ac:dyDescent="0.25">
      <c r="A5" s="11"/>
      <c r="B5" s="11"/>
      <c r="C5" s="14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</row>
    <row r="6" spans="1:19" ht="15.75" x14ac:dyDescent="0.25">
      <c r="A6" s="143" t="s">
        <v>1</v>
      </c>
      <c r="B6" s="143"/>
      <c r="C6" s="143"/>
      <c r="D6" s="143"/>
      <c r="E6" s="143"/>
      <c r="F6" s="143"/>
      <c r="G6" s="11"/>
      <c r="H6" s="11"/>
      <c r="I6" s="11"/>
      <c r="J6" s="11"/>
      <c r="K6" s="11"/>
      <c r="L6" s="11"/>
      <c r="M6" s="11"/>
      <c r="N6" s="11"/>
      <c r="O6" s="11" t="s">
        <v>38</v>
      </c>
      <c r="P6" s="11"/>
      <c r="Q6" s="11"/>
      <c r="R6" s="11"/>
      <c r="S6" s="11"/>
    </row>
    <row r="7" spans="1:19" ht="15.75" x14ac:dyDescent="0.25">
      <c r="A7" s="143" t="s">
        <v>36</v>
      </c>
      <c r="B7" s="143"/>
      <c r="C7" s="143"/>
      <c r="D7" s="143"/>
      <c r="E7" s="143"/>
      <c r="F7" s="143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</row>
    <row r="8" spans="1:19" ht="15.75" customHeight="1" x14ac:dyDescent="0.25">
      <c r="A8" s="144" t="s">
        <v>17</v>
      </c>
      <c r="B8" s="144"/>
      <c r="C8" s="144"/>
      <c r="D8" s="144"/>
      <c r="E8" s="144"/>
      <c r="F8" s="144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</row>
    <row r="9" spans="1:19" x14ac:dyDescent="0.25">
      <c r="A9" s="15"/>
      <c r="B9" s="15"/>
      <c r="C9" s="15"/>
      <c r="D9" s="15"/>
      <c r="E9" s="15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</row>
    <row r="10" spans="1:19" x14ac:dyDescent="0.25">
      <c r="A10" s="193" t="s">
        <v>80</v>
      </c>
      <c r="B10" s="193"/>
      <c r="C10" s="193"/>
      <c r="D10" s="193"/>
      <c r="E10" s="193"/>
      <c r="F10" s="193"/>
      <c r="G10" s="193"/>
      <c r="H10" s="193"/>
      <c r="I10" s="193"/>
      <c r="J10" s="193"/>
      <c r="K10" s="193"/>
      <c r="L10" s="193"/>
      <c r="M10" s="193"/>
      <c r="N10" s="193"/>
      <c r="O10" s="193"/>
      <c r="P10" s="193"/>
      <c r="Q10" s="193"/>
    </row>
    <row r="11" spans="1:19" ht="15.75" customHeight="1" x14ac:dyDescent="0.25">
      <c r="A11" s="183" t="s">
        <v>3</v>
      </c>
      <c r="B11" s="186" t="s">
        <v>31</v>
      </c>
      <c r="C11" s="170" t="s">
        <v>67</v>
      </c>
      <c r="D11" s="170"/>
      <c r="E11" s="136" t="s">
        <v>68</v>
      </c>
      <c r="F11" s="136"/>
      <c r="G11" s="136" t="s">
        <v>69</v>
      </c>
      <c r="H11" s="136"/>
      <c r="I11" s="170" t="s">
        <v>70</v>
      </c>
      <c r="J11" s="170"/>
      <c r="K11" s="136" t="s">
        <v>71</v>
      </c>
      <c r="L11" s="136"/>
      <c r="M11" s="136" t="s">
        <v>72</v>
      </c>
      <c r="N11" s="136"/>
      <c r="O11" s="136" t="s">
        <v>73</v>
      </c>
      <c r="P11" s="164" t="s">
        <v>74</v>
      </c>
      <c r="Q11" s="136" t="s">
        <v>75</v>
      </c>
    </row>
    <row r="12" spans="1:19" ht="20.25" customHeight="1" x14ac:dyDescent="0.25">
      <c r="A12" s="184"/>
      <c r="B12" s="187"/>
      <c r="C12" s="170"/>
      <c r="D12" s="170"/>
      <c r="E12" s="136"/>
      <c r="F12" s="136"/>
      <c r="G12" s="136"/>
      <c r="H12" s="136"/>
      <c r="I12" s="170"/>
      <c r="J12" s="170"/>
      <c r="K12" s="136"/>
      <c r="L12" s="136"/>
      <c r="M12" s="136"/>
      <c r="N12" s="136"/>
      <c r="O12" s="136"/>
      <c r="P12" s="165"/>
      <c r="Q12" s="136"/>
    </row>
    <row r="13" spans="1:19" ht="23.25" customHeight="1" x14ac:dyDescent="0.25">
      <c r="A13" s="185"/>
      <c r="B13" s="188"/>
      <c r="C13" s="172" t="s">
        <v>76</v>
      </c>
      <c r="D13" s="173"/>
      <c r="E13" s="174" t="s">
        <v>76</v>
      </c>
      <c r="F13" s="175"/>
      <c r="G13" s="174" t="s">
        <v>76</v>
      </c>
      <c r="H13" s="175"/>
      <c r="I13" s="174" t="s">
        <v>76</v>
      </c>
      <c r="J13" s="175"/>
      <c r="K13" s="174" t="s">
        <v>76</v>
      </c>
      <c r="L13" s="175"/>
      <c r="M13" s="174" t="s">
        <v>76</v>
      </c>
      <c r="N13" s="175"/>
      <c r="O13" s="92" t="s">
        <v>76</v>
      </c>
      <c r="P13" s="92" t="s">
        <v>25</v>
      </c>
      <c r="Q13" s="92" t="s">
        <v>93</v>
      </c>
    </row>
    <row r="14" spans="1:19" x14ac:dyDescent="0.25">
      <c r="A14" s="26">
        <v>1</v>
      </c>
      <c r="B14" s="26" t="s">
        <v>4</v>
      </c>
      <c r="C14" s="27"/>
      <c r="D14" s="27"/>
      <c r="E14" s="28"/>
      <c r="F14" s="28"/>
      <c r="G14" s="28"/>
      <c r="H14" s="28"/>
      <c r="I14" s="27"/>
      <c r="J14" s="27"/>
      <c r="K14" s="28"/>
      <c r="L14" s="28"/>
      <c r="M14" s="28"/>
      <c r="N14" s="28"/>
      <c r="O14" s="28"/>
      <c r="P14" s="28"/>
      <c r="Q14" s="2"/>
    </row>
    <row r="15" spans="1:19" x14ac:dyDescent="0.25">
      <c r="A15" s="28"/>
      <c r="B15" s="28" t="s">
        <v>5</v>
      </c>
      <c r="C15" s="196">
        <f>F47*6+1173</f>
        <v>8022.9837673492893</v>
      </c>
      <c r="D15" s="197"/>
      <c r="E15" s="196">
        <f>F47*6+3657</f>
        <v>10506.983767349289</v>
      </c>
      <c r="F15" s="197"/>
      <c r="G15" s="196">
        <f>F47*6+2576</f>
        <v>9425.9837673492893</v>
      </c>
      <c r="H15" s="197"/>
      <c r="I15" s="196">
        <f>F47*6+2127</f>
        <v>8976.9837673492893</v>
      </c>
      <c r="J15" s="197"/>
      <c r="K15" s="196">
        <f>F47*6+1841</f>
        <v>8690.9837673492893</v>
      </c>
      <c r="L15" s="197"/>
      <c r="M15" s="196">
        <f>F47*6+2828</f>
        <v>9677.9837673492893</v>
      </c>
      <c r="N15" s="197"/>
      <c r="O15" s="27">
        <f>F47*6+3070</f>
        <v>9919.9837673492893</v>
      </c>
      <c r="P15" s="27">
        <f>F47*5+14938</f>
        <v>20646.319806124407</v>
      </c>
      <c r="Q15" s="111">
        <f>F47*21+12060</f>
        <v>36034.943185722514</v>
      </c>
    </row>
    <row r="16" spans="1:19" x14ac:dyDescent="0.25">
      <c r="A16" s="28"/>
      <c r="B16" s="28" t="s">
        <v>6</v>
      </c>
      <c r="C16" s="196">
        <f t="shared" ref="C16:C18" si="0">F48*6+1173</f>
        <v>7164.688915958779</v>
      </c>
      <c r="D16" s="197"/>
      <c r="E16" s="196">
        <f t="shared" ref="E16:E18" si="1">F48*6+3657</f>
        <v>9648.688915958779</v>
      </c>
      <c r="F16" s="197"/>
      <c r="G16" s="196">
        <f t="shared" ref="G16:G18" si="2">F48*6+2576</f>
        <v>8567.688915958779</v>
      </c>
      <c r="H16" s="197"/>
      <c r="I16" s="196">
        <f t="shared" ref="I16:I18" si="3">F48*6+2127</f>
        <v>8118.688915958779</v>
      </c>
      <c r="J16" s="197"/>
      <c r="K16" s="196">
        <f t="shared" ref="K16:K18" si="4">F48*6+1841</f>
        <v>7832.688915958779</v>
      </c>
      <c r="L16" s="197"/>
      <c r="M16" s="196">
        <f t="shared" ref="M16:M18" si="5">F48*6+2828</f>
        <v>8819.688915958779</v>
      </c>
      <c r="N16" s="197"/>
      <c r="O16" s="27">
        <f t="shared" ref="O16:O18" si="6">F48*6+3070</f>
        <v>9061.688915958779</v>
      </c>
      <c r="P16" s="27">
        <f t="shared" ref="P16:P18" si="7">F48*5+14938</f>
        <v>19931.074096632317</v>
      </c>
      <c r="Q16" s="111">
        <f t="shared" ref="Q16:Q18" si="8">F48*21+12060</f>
        <v>33030.911205855729</v>
      </c>
    </row>
    <row r="17" spans="1:17" x14ac:dyDescent="0.25">
      <c r="A17" s="28"/>
      <c r="B17" s="28" t="s">
        <v>7</v>
      </c>
      <c r="C17" s="196">
        <f t="shared" si="0"/>
        <v>6589.5471812964779</v>
      </c>
      <c r="D17" s="197"/>
      <c r="E17" s="196">
        <f t="shared" si="1"/>
        <v>9073.5471812964788</v>
      </c>
      <c r="F17" s="197"/>
      <c r="G17" s="196">
        <f t="shared" si="2"/>
        <v>7992.5471812964779</v>
      </c>
      <c r="H17" s="197"/>
      <c r="I17" s="196">
        <f t="shared" si="3"/>
        <v>7543.5471812964779</v>
      </c>
      <c r="J17" s="197"/>
      <c r="K17" s="196">
        <f t="shared" si="4"/>
        <v>7257.5471812964779</v>
      </c>
      <c r="L17" s="197"/>
      <c r="M17" s="196">
        <f t="shared" si="5"/>
        <v>8244.5471812964788</v>
      </c>
      <c r="N17" s="197"/>
      <c r="O17" s="27">
        <f t="shared" si="6"/>
        <v>8486.5471812964788</v>
      </c>
      <c r="P17" s="27">
        <f t="shared" si="7"/>
        <v>19451.789317747065</v>
      </c>
      <c r="Q17" s="111">
        <f t="shared" si="8"/>
        <v>31017.91513453767</v>
      </c>
    </row>
    <row r="18" spans="1:17" x14ac:dyDescent="0.25">
      <c r="A18" s="28"/>
      <c r="B18" s="28" t="s">
        <v>8</v>
      </c>
      <c r="C18" s="196">
        <f t="shared" si="0"/>
        <v>12223.604287642431</v>
      </c>
      <c r="D18" s="197"/>
      <c r="E18" s="196">
        <f t="shared" si="1"/>
        <v>14707.604287642431</v>
      </c>
      <c r="F18" s="197"/>
      <c r="G18" s="196">
        <f t="shared" si="2"/>
        <v>13626.604287642431</v>
      </c>
      <c r="H18" s="197"/>
      <c r="I18" s="196">
        <f t="shared" si="3"/>
        <v>13177.604287642431</v>
      </c>
      <c r="J18" s="197"/>
      <c r="K18" s="196">
        <f t="shared" si="4"/>
        <v>12891.604287642431</v>
      </c>
      <c r="L18" s="197"/>
      <c r="M18" s="196">
        <f t="shared" si="5"/>
        <v>13878.604287642431</v>
      </c>
      <c r="N18" s="197"/>
      <c r="O18" s="27">
        <f t="shared" si="6"/>
        <v>14120.604287642431</v>
      </c>
      <c r="P18" s="27">
        <f t="shared" si="7"/>
        <v>24146.836906368691</v>
      </c>
      <c r="Q18" s="111">
        <f t="shared" si="8"/>
        <v>50737.115006748507</v>
      </c>
    </row>
    <row r="19" spans="1:17" x14ac:dyDescent="0.25">
      <c r="A19" s="26">
        <v>2</v>
      </c>
      <c r="B19" s="26" t="s">
        <v>9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111"/>
    </row>
    <row r="20" spans="1:17" x14ac:dyDescent="0.25">
      <c r="A20" s="28"/>
      <c r="B20" s="28" t="s">
        <v>5</v>
      </c>
      <c r="C20" s="196">
        <f>F52*6+1173</f>
        <v>9192.4489585459432</v>
      </c>
      <c r="D20" s="197"/>
      <c r="E20" s="196">
        <f>F52*6+3657</f>
        <v>11676.448958545943</v>
      </c>
      <c r="F20" s="197"/>
      <c r="G20" s="196">
        <f>F52*6+2576</f>
        <v>10595.448958545943</v>
      </c>
      <c r="H20" s="197"/>
      <c r="I20" s="196">
        <f>F52*6+2127</f>
        <v>10146.448958545943</v>
      </c>
      <c r="J20" s="197"/>
      <c r="K20" s="196">
        <f>F52*6+1841</f>
        <v>9860.4489585459432</v>
      </c>
      <c r="L20" s="197"/>
      <c r="M20" s="196">
        <f>F52*6+2828</f>
        <v>10847.448958545943</v>
      </c>
      <c r="N20" s="197"/>
      <c r="O20" s="27">
        <f>F52*6+3070</f>
        <v>11089.448958545943</v>
      </c>
      <c r="P20" s="27">
        <f>F52*5+14938</f>
        <v>21620.874132121618</v>
      </c>
      <c r="Q20" s="111">
        <f>F52*21+12060</f>
        <v>40128.071354910804</v>
      </c>
    </row>
    <row r="21" spans="1:17" x14ac:dyDescent="0.25">
      <c r="A21" s="28"/>
      <c r="B21" s="28" t="s">
        <v>6</v>
      </c>
      <c r="C21" s="196">
        <f t="shared" ref="C21:C23" si="9">F53*6+1173</f>
        <v>8328.0219561774447</v>
      </c>
      <c r="D21" s="197"/>
      <c r="E21" s="196">
        <f t="shared" ref="E21:E23" si="10">F53*6+3657</f>
        <v>10812.021956177445</v>
      </c>
      <c r="F21" s="197"/>
      <c r="G21" s="196">
        <f t="shared" ref="G21:G23" si="11">F53*6+2576</f>
        <v>9731.0219561774447</v>
      </c>
      <c r="H21" s="197"/>
      <c r="I21" s="196">
        <f t="shared" ref="I21:I23" si="12">F53*6+2127</f>
        <v>9282.0219561774447</v>
      </c>
      <c r="J21" s="197"/>
      <c r="K21" s="196">
        <f t="shared" ref="K21:K23" si="13">F53*6+1841</f>
        <v>8996.0219561774447</v>
      </c>
      <c r="L21" s="197"/>
      <c r="M21" s="196">
        <f t="shared" ref="M21:M23" si="14">F53*6+2828</f>
        <v>9983.0219561774447</v>
      </c>
      <c r="N21" s="197"/>
      <c r="O21" s="27">
        <f t="shared" ref="O21:O23" si="15">F53*6+3070</f>
        <v>10225.021956177445</v>
      </c>
      <c r="P21" s="27">
        <f t="shared" ref="P21:P23" si="16">F53*5+14938</f>
        <v>20900.518296814538</v>
      </c>
      <c r="Q21" s="111">
        <f t="shared" ref="Q21:Q23" si="17">F53*21+12060</f>
        <v>37102.576846621057</v>
      </c>
    </row>
    <row r="22" spans="1:17" x14ac:dyDescent="0.25">
      <c r="A22" s="28"/>
      <c r="B22" s="28" t="s">
        <v>7</v>
      </c>
      <c r="C22" s="196">
        <f t="shared" si="9"/>
        <v>7752.7616739813302</v>
      </c>
      <c r="D22" s="197"/>
      <c r="E22" s="196">
        <f t="shared" si="10"/>
        <v>10236.761673981331</v>
      </c>
      <c r="F22" s="197"/>
      <c r="G22" s="196">
        <f t="shared" si="11"/>
        <v>9155.7616739813311</v>
      </c>
      <c r="H22" s="197"/>
      <c r="I22" s="196">
        <f t="shared" si="12"/>
        <v>8706.7616739813311</v>
      </c>
      <c r="J22" s="197"/>
      <c r="K22" s="196">
        <f t="shared" si="13"/>
        <v>8420.7616739813311</v>
      </c>
      <c r="L22" s="197"/>
      <c r="M22" s="196">
        <f t="shared" si="14"/>
        <v>9407.7616739813311</v>
      </c>
      <c r="N22" s="197"/>
      <c r="O22" s="27">
        <f t="shared" si="15"/>
        <v>9649.7616739813311</v>
      </c>
      <c r="P22" s="27">
        <f t="shared" si="16"/>
        <v>20421.134728317775</v>
      </c>
      <c r="Q22" s="111">
        <f t="shared" si="17"/>
        <v>35089.165858934655</v>
      </c>
    </row>
    <row r="23" spans="1:17" x14ac:dyDescent="0.25">
      <c r="A23" s="28"/>
      <c r="B23" s="28" t="s">
        <v>8</v>
      </c>
      <c r="C23" s="196">
        <f t="shared" si="9"/>
        <v>13375.157747340932</v>
      </c>
      <c r="D23" s="197"/>
      <c r="E23" s="196">
        <f t="shared" si="10"/>
        <v>15859.157747340932</v>
      </c>
      <c r="F23" s="197"/>
      <c r="G23" s="196">
        <f t="shared" si="11"/>
        <v>14778.157747340932</v>
      </c>
      <c r="H23" s="197"/>
      <c r="I23" s="196">
        <f t="shared" si="12"/>
        <v>14329.157747340932</v>
      </c>
      <c r="J23" s="197"/>
      <c r="K23" s="196">
        <f t="shared" si="13"/>
        <v>14043.157747340932</v>
      </c>
      <c r="L23" s="197"/>
      <c r="M23" s="196">
        <f t="shared" si="14"/>
        <v>15030.157747340932</v>
      </c>
      <c r="N23" s="197"/>
      <c r="O23" s="27">
        <f t="shared" si="15"/>
        <v>15272.157747340932</v>
      </c>
      <c r="P23" s="27">
        <f t="shared" si="16"/>
        <v>25106.464789450776</v>
      </c>
      <c r="Q23" s="111">
        <f t="shared" si="17"/>
        <v>54767.552115693266</v>
      </c>
    </row>
    <row r="24" spans="1:17" x14ac:dyDescent="0.25">
      <c r="A24" s="26">
        <v>3</v>
      </c>
      <c r="B24" s="26" t="s">
        <v>10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111"/>
    </row>
    <row r="25" spans="1:17" x14ac:dyDescent="0.25">
      <c r="A25" s="28"/>
      <c r="B25" s="28" t="s">
        <v>5</v>
      </c>
      <c r="C25" s="196">
        <f>F57*6+1173</f>
        <v>11540.706324583731</v>
      </c>
      <c r="D25" s="197"/>
      <c r="E25" s="196">
        <f>F57*6+3657</f>
        <v>14024.706324583731</v>
      </c>
      <c r="F25" s="197"/>
      <c r="G25" s="196">
        <f>F57*6+2576</f>
        <v>12943.706324583731</v>
      </c>
      <c r="H25" s="197"/>
      <c r="I25" s="196">
        <f>F57*6+2127</f>
        <v>12494.706324583731</v>
      </c>
      <c r="J25" s="197"/>
      <c r="K25" s="196">
        <f>F57*6+1841</f>
        <v>12208.706324583731</v>
      </c>
      <c r="L25" s="197"/>
      <c r="M25" s="196">
        <f>F57*6+2828</f>
        <v>13195.706324583731</v>
      </c>
      <c r="N25" s="197"/>
      <c r="O25" s="27">
        <f>F57*6+3070</f>
        <v>13437.706324583731</v>
      </c>
      <c r="P25" s="27">
        <f>F57*5+14938</f>
        <v>23577.755270486443</v>
      </c>
      <c r="Q25" s="111">
        <f>F57*21+12060</f>
        <v>48346.972136043056</v>
      </c>
    </row>
    <row r="26" spans="1:17" x14ac:dyDescent="0.25">
      <c r="A26" s="28"/>
      <c r="B26" s="28" t="s">
        <v>6</v>
      </c>
      <c r="C26" s="196">
        <f t="shared" ref="C26:C28" si="18">F58*6+1173</f>
        <v>9982.3031616647058</v>
      </c>
      <c r="D26" s="197"/>
      <c r="E26" s="196">
        <f t="shared" ref="E26:E28" si="19">F58*6+3657</f>
        <v>12466.303161664706</v>
      </c>
      <c r="F26" s="197"/>
      <c r="G26" s="196">
        <f t="shared" ref="G26:G28" si="20">F58*6+2576</f>
        <v>11385.303161664706</v>
      </c>
      <c r="H26" s="197"/>
      <c r="I26" s="196">
        <f t="shared" ref="I26:I28" si="21">F58*6+2127</f>
        <v>10936.303161664706</v>
      </c>
      <c r="J26" s="197"/>
      <c r="K26" s="196">
        <f t="shared" ref="K26:K28" si="22">F58*6+1841</f>
        <v>10650.303161664706</v>
      </c>
      <c r="L26" s="197"/>
      <c r="M26" s="196">
        <f t="shared" ref="M26:M28" si="23">F58*6+2828</f>
        <v>11637.303161664706</v>
      </c>
      <c r="N26" s="197"/>
      <c r="O26" s="27">
        <f t="shared" ref="O26:O28" si="24">F58*6+3070</f>
        <v>11879.303161664706</v>
      </c>
      <c r="P26" s="27">
        <f t="shared" ref="P26:P28" si="25">F58*5+14938</f>
        <v>22279.085968053922</v>
      </c>
      <c r="Q26" s="111">
        <f t="shared" ref="Q26:Q28" si="26">F58*21+12060</f>
        <v>42892.56106582647</v>
      </c>
    </row>
    <row r="27" spans="1:17" x14ac:dyDescent="0.25">
      <c r="A27" s="28"/>
      <c r="B27" s="28" t="s">
        <v>7</v>
      </c>
      <c r="C27" s="196">
        <f t="shared" si="18"/>
        <v>8685.2685185185182</v>
      </c>
      <c r="D27" s="197"/>
      <c r="E27" s="196">
        <f t="shared" si="19"/>
        <v>11169.268518518518</v>
      </c>
      <c r="F27" s="197"/>
      <c r="G27" s="196">
        <f t="shared" si="20"/>
        <v>10088.268518518518</v>
      </c>
      <c r="H27" s="197"/>
      <c r="I27" s="196">
        <f t="shared" si="21"/>
        <v>9639.2685185185182</v>
      </c>
      <c r="J27" s="197"/>
      <c r="K27" s="196">
        <f t="shared" si="22"/>
        <v>9353.2685185185182</v>
      </c>
      <c r="L27" s="197"/>
      <c r="M27" s="196">
        <f t="shared" si="23"/>
        <v>10340.268518518518</v>
      </c>
      <c r="N27" s="197"/>
      <c r="O27" s="27">
        <f t="shared" si="24"/>
        <v>10582.268518518518</v>
      </c>
      <c r="P27" s="27">
        <f t="shared" si="25"/>
        <v>21198.2237654321</v>
      </c>
      <c r="Q27" s="111">
        <f t="shared" si="26"/>
        <v>38352.939814814818</v>
      </c>
    </row>
    <row r="28" spans="1:17" x14ac:dyDescent="0.25">
      <c r="A28" s="28"/>
      <c r="B28" s="28" t="s">
        <v>8</v>
      </c>
      <c r="C28" s="196">
        <f t="shared" si="18"/>
        <v>16928.46006856635</v>
      </c>
      <c r="D28" s="197"/>
      <c r="E28" s="196">
        <f t="shared" si="19"/>
        <v>19412.46006856635</v>
      </c>
      <c r="F28" s="197"/>
      <c r="G28" s="196">
        <f t="shared" si="20"/>
        <v>18331.46006856635</v>
      </c>
      <c r="H28" s="197"/>
      <c r="I28" s="196">
        <f t="shared" si="21"/>
        <v>17882.46006856635</v>
      </c>
      <c r="J28" s="197"/>
      <c r="K28" s="196">
        <f t="shared" si="22"/>
        <v>17596.46006856635</v>
      </c>
      <c r="L28" s="197"/>
      <c r="M28" s="196">
        <f t="shared" si="23"/>
        <v>18583.46006856635</v>
      </c>
      <c r="N28" s="197"/>
      <c r="O28" s="27">
        <f t="shared" si="24"/>
        <v>18825.46006856635</v>
      </c>
      <c r="P28" s="27">
        <f t="shared" si="25"/>
        <v>28067.550057138622</v>
      </c>
      <c r="Q28" s="111">
        <f t="shared" si="26"/>
        <v>67204.110239982227</v>
      </c>
    </row>
    <row r="29" spans="1:17" x14ac:dyDescent="0.25">
      <c r="A29" s="109">
        <v>4</v>
      </c>
      <c r="B29" s="26" t="s">
        <v>86</v>
      </c>
      <c r="C29" s="28"/>
      <c r="D29" s="28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</row>
    <row r="30" spans="1:17" x14ac:dyDescent="0.25">
      <c r="A30" s="28"/>
      <c r="B30" s="28" t="s">
        <v>87</v>
      </c>
      <c r="C30" s="194">
        <f>F62*6+1173</f>
        <v>4648.4296349613296</v>
      </c>
      <c r="D30" s="195"/>
      <c r="E30" s="194">
        <f>F62*6+3657</f>
        <v>7132.4296349613296</v>
      </c>
      <c r="F30" s="195"/>
      <c r="G30" s="194">
        <f>F62*6+2576</f>
        <v>6051.4296349613296</v>
      </c>
      <c r="H30" s="195"/>
      <c r="I30" s="194">
        <f>F62*6+2127</f>
        <v>5602.4296349613296</v>
      </c>
      <c r="J30" s="195"/>
      <c r="K30" s="194">
        <f>F62*6+1841</f>
        <v>5316.4296349613296</v>
      </c>
      <c r="L30" s="195"/>
      <c r="M30" s="194">
        <f>F62*6+2828</f>
        <v>6303.4296349613296</v>
      </c>
      <c r="N30" s="195"/>
      <c r="O30" s="114">
        <f>F62*6+3070</f>
        <v>6545.4296349613296</v>
      </c>
      <c r="P30" s="114">
        <f>F62*5+14938</f>
        <v>17834.191362467776</v>
      </c>
      <c r="Q30" s="119">
        <f>F62*21+12060</f>
        <v>24224.003722364654</v>
      </c>
    </row>
    <row r="31" spans="1:17" x14ac:dyDescent="0.25">
      <c r="A31" s="107"/>
      <c r="B31" s="28" t="s">
        <v>88</v>
      </c>
      <c r="C31" s="194">
        <f>F63*6+1173</f>
        <v>5798.7612349613282</v>
      </c>
      <c r="D31" s="195"/>
      <c r="E31" s="194">
        <f>F63*6+3657</f>
        <v>8282.7612349613282</v>
      </c>
      <c r="F31" s="195"/>
      <c r="G31" s="194">
        <f>F63*6+2576</f>
        <v>7201.7612349613282</v>
      </c>
      <c r="H31" s="195"/>
      <c r="I31" s="194">
        <f>F63*6+2127</f>
        <v>6752.7612349613282</v>
      </c>
      <c r="J31" s="195"/>
      <c r="K31" s="194">
        <f>F63*6+1841</f>
        <v>6466.7612349613282</v>
      </c>
      <c r="L31" s="195"/>
      <c r="M31" s="194">
        <f>F63*6+2828</f>
        <v>7453.7612349613282</v>
      </c>
      <c r="N31" s="195"/>
      <c r="O31" s="114">
        <f>F63*6+3070</f>
        <v>7695.7612349613282</v>
      </c>
      <c r="P31" s="114">
        <f>F63*5+14938</f>
        <v>18792.80102913444</v>
      </c>
      <c r="Q31" s="119">
        <f>F63*21+12060</f>
        <v>28250.16432236465</v>
      </c>
    </row>
    <row r="32" spans="1:17" x14ac:dyDescent="0.25">
      <c r="A32" s="103"/>
      <c r="B32" s="103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3"/>
    </row>
    <row r="33" spans="1:17" ht="15" customHeight="1" x14ac:dyDescent="0.25">
      <c r="A33" s="32"/>
      <c r="B33" s="32"/>
      <c r="C33" s="198">
        <f>'Дамский заезд 2'!E13</f>
        <v>1172.5859999999998</v>
      </c>
      <c r="D33" s="198"/>
      <c r="E33" s="198">
        <f>'Дамский заезд 2'!E23</f>
        <v>3657.3472600000005</v>
      </c>
      <c r="F33" s="198"/>
      <c r="G33" s="198">
        <f>'Дамский заезд 2'!E33</f>
        <v>2575.6066599999999</v>
      </c>
      <c r="H33" s="198"/>
      <c r="I33" s="198">
        <f>'Дамский заезд 2'!E42</f>
        <v>2127.06</v>
      </c>
      <c r="J33" s="198"/>
      <c r="K33" s="198">
        <f>'Дамский заезд 2'!E51</f>
        <v>1840.7213999999999</v>
      </c>
      <c r="L33" s="198"/>
      <c r="M33" s="198">
        <f>'Дамский заезд 2'!E61</f>
        <v>2828.4119999999998</v>
      </c>
      <c r="N33" s="198"/>
      <c r="O33" s="115">
        <f>'Дамский заезд 2'!E70</f>
        <v>3069.61204</v>
      </c>
      <c r="P33" s="116">
        <f>'Дамский заезд 2'!E79</f>
        <v>14938.064799999998</v>
      </c>
      <c r="Q33" s="102">
        <f>'Дамский заезд 2'!E90</f>
        <v>12059.77104</v>
      </c>
    </row>
    <row r="34" spans="1:17" x14ac:dyDescent="0.25">
      <c r="A34" s="32"/>
      <c r="B34" s="3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3"/>
      <c r="Q34" s="41"/>
    </row>
    <row r="35" spans="1:17" x14ac:dyDescent="0.25">
      <c r="A35" s="24"/>
      <c r="B35" s="11" t="s">
        <v>81</v>
      </c>
      <c r="C35" s="11"/>
      <c r="D35" s="11"/>
      <c r="E35" s="11"/>
      <c r="F35" s="11"/>
      <c r="G35" s="11" t="s">
        <v>42</v>
      </c>
      <c r="H35" s="11"/>
      <c r="I35" s="44"/>
      <c r="J35" s="44"/>
      <c r="K35" s="44"/>
      <c r="L35" s="44"/>
      <c r="M35" s="44"/>
      <c r="N35" s="44"/>
      <c r="O35" s="44"/>
      <c r="P35" s="45"/>
    </row>
    <row r="36" spans="1:17" x14ac:dyDescent="0.25">
      <c r="A36" s="18"/>
      <c r="B36" s="11"/>
      <c r="C36" s="11"/>
      <c r="D36" s="11"/>
      <c r="E36" s="11"/>
      <c r="F36" s="11"/>
      <c r="G36" s="11"/>
      <c r="H36" s="11"/>
      <c r="I36" s="46"/>
      <c r="J36" s="46"/>
      <c r="K36" s="46"/>
      <c r="L36" s="46"/>
      <c r="M36" s="46"/>
      <c r="N36" s="40"/>
      <c r="O36" s="40"/>
      <c r="P36" s="40"/>
    </row>
    <row r="37" spans="1:17" x14ac:dyDescent="0.25">
      <c r="A37" s="18"/>
      <c r="B37" s="11" t="s">
        <v>13</v>
      </c>
      <c r="C37" s="11"/>
      <c r="D37" s="11"/>
      <c r="E37" s="11"/>
      <c r="F37" s="11"/>
      <c r="G37" s="11" t="s">
        <v>14</v>
      </c>
      <c r="H37" s="11"/>
      <c r="I37" s="18"/>
      <c r="J37" s="18"/>
      <c r="K37" s="18"/>
      <c r="L37" s="18"/>
      <c r="M37" s="18"/>
      <c r="N37" s="11"/>
      <c r="O37" s="11"/>
      <c r="P37" s="11"/>
    </row>
    <row r="38" spans="1:17" x14ac:dyDescent="0.25">
      <c r="A38" s="18"/>
      <c r="B38" s="11"/>
      <c r="C38" s="11"/>
      <c r="D38" s="11"/>
      <c r="E38" s="11"/>
      <c r="F38" s="11"/>
      <c r="G38" s="11"/>
      <c r="H38" s="11"/>
      <c r="I38" s="18"/>
      <c r="J38" s="18"/>
      <c r="K38" s="18"/>
      <c r="L38" s="18"/>
      <c r="M38" s="18"/>
      <c r="N38" s="11"/>
      <c r="O38" s="11"/>
      <c r="P38" s="11"/>
    </row>
    <row r="39" spans="1:17" x14ac:dyDescent="0.25">
      <c r="A39" s="18"/>
      <c r="B39" s="11" t="s">
        <v>15</v>
      </c>
      <c r="C39" s="11"/>
      <c r="D39" s="11"/>
      <c r="E39" s="11"/>
      <c r="F39" s="11"/>
      <c r="G39" s="11"/>
      <c r="H39" s="11"/>
      <c r="I39" s="18"/>
      <c r="J39" s="18"/>
      <c r="K39" s="18"/>
      <c r="L39" s="18"/>
      <c r="M39" s="18"/>
      <c r="N39" s="11"/>
      <c r="O39" s="11"/>
      <c r="P39" s="11"/>
    </row>
    <row r="40" spans="1:17" x14ac:dyDescent="0.25">
      <c r="A40" s="18"/>
      <c r="B40" s="11"/>
      <c r="C40" s="11"/>
      <c r="D40" s="11"/>
      <c r="E40" s="11"/>
      <c r="F40" s="11"/>
      <c r="G40" s="11"/>
      <c r="H40" s="11"/>
      <c r="I40" s="18"/>
      <c r="J40" s="18"/>
      <c r="K40" s="18"/>
      <c r="L40" s="18"/>
      <c r="M40" s="18"/>
      <c r="N40" s="11"/>
      <c r="O40" s="11"/>
      <c r="P40" s="11"/>
    </row>
    <row r="41" spans="1:17" x14ac:dyDescent="0.25">
      <c r="A41" s="19"/>
      <c r="B41" s="11" t="s">
        <v>16</v>
      </c>
      <c r="C41" s="11"/>
      <c r="D41" s="11"/>
      <c r="E41" s="11"/>
      <c r="F41" s="11"/>
      <c r="G41" s="11" t="s">
        <v>30</v>
      </c>
      <c r="H41" s="11"/>
      <c r="I41" s="18"/>
      <c r="J41" s="18"/>
      <c r="K41" s="18"/>
      <c r="L41" s="18"/>
      <c r="M41" s="18"/>
      <c r="N41" s="11"/>
      <c r="O41" s="11"/>
      <c r="P41" s="11"/>
    </row>
    <row r="42" spans="1:17" x14ac:dyDescent="0.25">
      <c r="A42" s="20"/>
      <c r="I42" s="18"/>
      <c r="J42" s="18"/>
      <c r="K42" s="18"/>
      <c r="L42" s="18"/>
      <c r="M42" s="18"/>
      <c r="N42" s="11"/>
      <c r="O42" s="11"/>
      <c r="P42" s="11"/>
    </row>
    <row r="43" spans="1:17" x14ac:dyDescent="0.25">
      <c r="A43" s="21"/>
      <c r="B43" s="22"/>
      <c r="C43" s="21"/>
      <c r="D43" s="21"/>
      <c r="E43" s="21"/>
      <c r="F43" s="21"/>
      <c r="G43" s="21"/>
      <c r="H43" s="21"/>
      <c r="I43" s="18"/>
      <c r="J43" s="18"/>
      <c r="K43" s="18"/>
      <c r="L43" s="18"/>
      <c r="M43" s="18"/>
      <c r="N43" s="11"/>
      <c r="O43" s="11"/>
      <c r="P43" s="11"/>
    </row>
    <row r="45" spans="1:17" x14ac:dyDescent="0.25">
      <c r="B45" s="33"/>
      <c r="C45" s="34"/>
      <c r="D45" s="35" t="s">
        <v>90</v>
      </c>
      <c r="E45" t="s">
        <v>91</v>
      </c>
      <c r="F45" t="s">
        <v>92</v>
      </c>
    </row>
    <row r="46" spans="1:17" x14ac:dyDescent="0.25">
      <c r="B46" s="33" t="s">
        <v>4</v>
      </c>
      <c r="C46" s="34"/>
      <c r="D46" s="35"/>
    </row>
    <row r="47" spans="1:17" x14ac:dyDescent="0.25">
      <c r="B47" s="34" t="s">
        <v>5</v>
      </c>
      <c r="C47" s="34">
        <v>1986</v>
      </c>
      <c r="D47" s="35">
        <v>0.42514402758062353</v>
      </c>
      <c r="E47">
        <f>C47*D47</f>
        <v>844.33603877511837</v>
      </c>
      <c r="F47">
        <f>C47-E47</f>
        <v>1141.6639612248816</v>
      </c>
    </row>
    <row r="48" spans="1:17" x14ac:dyDescent="0.25">
      <c r="B48" s="34" t="s">
        <v>6</v>
      </c>
      <c r="C48" s="34">
        <v>1843</v>
      </c>
      <c r="D48" s="35">
        <v>0.45815799276914637</v>
      </c>
      <c r="E48">
        <f t="shared" ref="E48:E63" si="27">C48*D48</f>
        <v>844.38518067353675</v>
      </c>
      <c r="F48">
        <f t="shared" ref="F48:F63" si="28">C48-E48</f>
        <v>998.61481932646325</v>
      </c>
    </row>
    <row r="49" spans="2:6" x14ac:dyDescent="0.25">
      <c r="B49" s="34" t="s">
        <v>7</v>
      </c>
      <c r="C49" s="34">
        <v>1747</v>
      </c>
      <c r="D49" s="35">
        <v>0.48325251084750259</v>
      </c>
      <c r="E49">
        <f t="shared" si="27"/>
        <v>844.24213645058705</v>
      </c>
      <c r="F49">
        <f t="shared" si="28"/>
        <v>902.75786354941295</v>
      </c>
    </row>
    <row r="50" spans="2:6" x14ac:dyDescent="0.25">
      <c r="B50" s="34" t="s">
        <v>8</v>
      </c>
      <c r="C50" s="34">
        <v>2686</v>
      </c>
      <c r="D50" s="35">
        <v>0.31430849543047706</v>
      </c>
      <c r="E50">
        <f t="shared" si="27"/>
        <v>844.23261872626142</v>
      </c>
      <c r="F50">
        <f t="shared" si="28"/>
        <v>1841.7673812737385</v>
      </c>
    </row>
    <row r="51" spans="2:6" x14ac:dyDescent="0.25">
      <c r="B51" s="33" t="s">
        <v>9</v>
      </c>
      <c r="C51" s="34"/>
      <c r="D51" s="35"/>
      <c r="F51">
        <f t="shared" si="28"/>
        <v>0</v>
      </c>
    </row>
    <row r="52" spans="2:6" x14ac:dyDescent="0.25">
      <c r="B52" s="34" t="s">
        <v>5</v>
      </c>
      <c r="C52" s="34">
        <v>2181</v>
      </c>
      <c r="D52" s="35">
        <v>0.38717339457848521</v>
      </c>
      <c r="E52">
        <f t="shared" si="27"/>
        <v>844.42517357567624</v>
      </c>
      <c r="F52">
        <f t="shared" si="28"/>
        <v>1336.5748264243239</v>
      </c>
    </row>
    <row r="53" spans="2:6" x14ac:dyDescent="0.25">
      <c r="B53" s="34" t="s">
        <v>6</v>
      </c>
      <c r="C53" s="34">
        <v>2037</v>
      </c>
      <c r="D53" s="35">
        <v>0.41457846864854819</v>
      </c>
      <c r="E53">
        <f t="shared" si="27"/>
        <v>844.49634063709266</v>
      </c>
      <c r="F53">
        <f t="shared" si="28"/>
        <v>1192.5036593629075</v>
      </c>
    </row>
    <row r="54" spans="2:6" x14ac:dyDescent="0.25">
      <c r="B54" s="34" t="s">
        <v>7</v>
      </c>
      <c r="C54" s="34">
        <v>1941</v>
      </c>
      <c r="D54" s="35">
        <v>0.43501960553139879</v>
      </c>
      <c r="E54">
        <f t="shared" si="27"/>
        <v>844.37305433644508</v>
      </c>
      <c r="F54">
        <f t="shared" si="28"/>
        <v>1096.626945663555</v>
      </c>
    </row>
    <row r="55" spans="2:6" x14ac:dyDescent="0.25">
      <c r="B55" s="34" t="s">
        <v>8</v>
      </c>
      <c r="C55" s="34">
        <v>2878</v>
      </c>
      <c r="D55" s="35">
        <v>0.29336589371433097</v>
      </c>
      <c r="E55">
        <f t="shared" si="27"/>
        <v>844.30704210984459</v>
      </c>
      <c r="F55">
        <f t="shared" si="28"/>
        <v>2033.6929578901554</v>
      </c>
    </row>
    <row r="56" spans="2:6" x14ac:dyDescent="0.25">
      <c r="B56" s="33" t="s">
        <v>10</v>
      </c>
      <c r="C56" s="34"/>
      <c r="D56" s="35"/>
      <c r="F56">
        <f t="shared" si="28"/>
        <v>0</v>
      </c>
    </row>
    <row r="57" spans="2:6" x14ac:dyDescent="0.25">
      <c r="B57" s="34" t="s">
        <v>5</v>
      </c>
      <c r="C57" s="34">
        <v>2316</v>
      </c>
      <c r="D57" s="35">
        <v>0.25390714417215526</v>
      </c>
      <c r="E57">
        <f t="shared" si="27"/>
        <v>588.04894590271158</v>
      </c>
      <c r="F57">
        <f t="shared" si="28"/>
        <v>1727.9510540972883</v>
      </c>
    </row>
    <row r="58" spans="2:6" x14ac:dyDescent="0.25">
      <c r="B58" s="34" t="s">
        <v>6</v>
      </c>
      <c r="C58" s="34">
        <v>2171</v>
      </c>
      <c r="D58" s="35">
        <v>0.32371386752151809</v>
      </c>
      <c r="E58">
        <f t="shared" si="27"/>
        <v>702.78280638921581</v>
      </c>
      <c r="F58">
        <f t="shared" si="28"/>
        <v>1468.2171936107843</v>
      </c>
    </row>
    <row r="59" spans="2:6" x14ac:dyDescent="0.25">
      <c r="B59" s="34" t="s">
        <v>7</v>
      </c>
      <c r="C59" s="34">
        <v>2075</v>
      </c>
      <c r="D59" s="35">
        <v>0.39660493827160492</v>
      </c>
      <c r="E59">
        <f t="shared" si="27"/>
        <v>822.95524691358025</v>
      </c>
      <c r="F59">
        <f t="shared" si="28"/>
        <v>1252.0447530864199</v>
      </c>
    </row>
    <row r="60" spans="2:6" x14ac:dyDescent="0.25">
      <c r="B60" s="34" t="s">
        <v>8</v>
      </c>
      <c r="C60" s="34">
        <v>3013</v>
      </c>
      <c r="D60" s="35">
        <v>0.12847327864994193</v>
      </c>
      <c r="E60">
        <f t="shared" si="27"/>
        <v>387.08998857227505</v>
      </c>
      <c r="F60">
        <f t="shared" si="28"/>
        <v>2625.9100114277248</v>
      </c>
    </row>
    <row r="61" spans="2:6" x14ac:dyDescent="0.25">
      <c r="B61" s="2" t="s">
        <v>86</v>
      </c>
      <c r="C61" s="2"/>
      <c r="F61">
        <f t="shared" si="28"/>
        <v>0</v>
      </c>
    </row>
    <row r="62" spans="2:6" x14ac:dyDescent="0.25">
      <c r="B62" s="2" t="s">
        <v>87</v>
      </c>
      <c r="C62" s="2">
        <v>1423.5801338527613</v>
      </c>
      <c r="D62">
        <v>0.5931115792365611</v>
      </c>
      <c r="E62">
        <f t="shared" si="27"/>
        <v>844.34186135920629</v>
      </c>
      <c r="F62">
        <f t="shared" si="28"/>
        <v>579.23827249355497</v>
      </c>
    </row>
    <row r="63" spans="2:6" x14ac:dyDescent="0.25">
      <c r="B63" s="2" t="s">
        <v>88</v>
      </c>
      <c r="C63" s="2">
        <v>1615.3020671860943</v>
      </c>
      <c r="D63">
        <v>0.52271453031077686</v>
      </c>
      <c r="E63">
        <f t="shared" si="27"/>
        <v>844.34186135920618</v>
      </c>
      <c r="F63">
        <f t="shared" si="28"/>
        <v>770.96020582688811</v>
      </c>
    </row>
  </sheetData>
  <mergeCells count="116">
    <mergeCell ref="O1:R1"/>
    <mergeCell ref="A10:Q10"/>
    <mergeCell ref="C33:D33"/>
    <mergeCell ref="E33:F33"/>
    <mergeCell ref="G33:H33"/>
    <mergeCell ref="K33:L33"/>
    <mergeCell ref="I33:J33"/>
    <mergeCell ref="M33:N33"/>
    <mergeCell ref="M22:N22"/>
    <mergeCell ref="M23:N23"/>
    <mergeCell ref="M25:N25"/>
    <mergeCell ref="M26:N26"/>
    <mergeCell ref="M27:N27"/>
    <mergeCell ref="M28:N28"/>
    <mergeCell ref="M15:N15"/>
    <mergeCell ref="M16:N16"/>
    <mergeCell ref="M17:N17"/>
    <mergeCell ref="M18:N18"/>
    <mergeCell ref="M20:N20"/>
    <mergeCell ref="M21:N21"/>
    <mergeCell ref="G15:H15"/>
    <mergeCell ref="G16:H16"/>
    <mergeCell ref="G17:H17"/>
    <mergeCell ref="G18:H18"/>
    <mergeCell ref="K27:L27"/>
    <mergeCell ref="K25:L25"/>
    <mergeCell ref="K26:L26"/>
    <mergeCell ref="I20:J20"/>
    <mergeCell ref="I21:J21"/>
    <mergeCell ref="K28:L28"/>
    <mergeCell ref="K15:L15"/>
    <mergeCell ref="K16:L16"/>
    <mergeCell ref="K17:L17"/>
    <mergeCell ref="K18:L18"/>
    <mergeCell ref="K20:L20"/>
    <mergeCell ref="K21:L21"/>
    <mergeCell ref="I22:J22"/>
    <mergeCell ref="I23:J23"/>
    <mergeCell ref="I25:J25"/>
    <mergeCell ref="I26:J26"/>
    <mergeCell ref="I27:J27"/>
    <mergeCell ref="I28:J28"/>
    <mergeCell ref="I15:J15"/>
    <mergeCell ref="I16:J16"/>
    <mergeCell ref="I17:J17"/>
    <mergeCell ref="I18:J18"/>
    <mergeCell ref="K22:L22"/>
    <mergeCell ref="K23:L23"/>
    <mergeCell ref="E18:F18"/>
    <mergeCell ref="E20:F20"/>
    <mergeCell ref="E21:F21"/>
    <mergeCell ref="G22:H22"/>
    <mergeCell ref="G23:H23"/>
    <mergeCell ref="G25:H25"/>
    <mergeCell ref="G26:H26"/>
    <mergeCell ref="G20:H20"/>
    <mergeCell ref="G21:H21"/>
    <mergeCell ref="G27:H27"/>
    <mergeCell ref="G28:H28"/>
    <mergeCell ref="O11:O12"/>
    <mergeCell ref="P11:P12"/>
    <mergeCell ref="Q11:Q12"/>
    <mergeCell ref="C22:D22"/>
    <mergeCell ref="C23:D23"/>
    <mergeCell ref="C25:D25"/>
    <mergeCell ref="C26:D26"/>
    <mergeCell ref="C27:D27"/>
    <mergeCell ref="C28:D28"/>
    <mergeCell ref="C15:D15"/>
    <mergeCell ref="C16:D16"/>
    <mergeCell ref="C17:D17"/>
    <mergeCell ref="C18:D18"/>
    <mergeCell ref="C20:D20"/>
    <mergeCell ref="C21:D21"/>
    <mergeCell ref="E22:F22"/>
    <mergeCell ref="E23:F23"/>
    <mergeCell ref="E25:F25"/>
    <mergeCell ref="E26:F26"/>
    <mergeCell ref="E27:F27"/>
    <mergeCell ref="E28:F28"/>
    <mergeCell ref="E15:F15"/>
    <mergeCell ref="E16:F16"/>
    <mergeCell ref="E17:F17"/>
    <mergeCell ref="I11:J12"/>
    <mergeCell ref="K11:L12"/>
    <mergeCell ref="M11:N12"/>
    <mergeCell ref="C13:D13"/>
    <mergeCell ref="E13:F13"/>
    <mergeCell ref="G13:H13"/>
    <mergeCell ref="I13:J13"/>
    <mergeCell ref="K13:L13"/>
    <mergeCell ref="M13:N13"/>
    <mergeCell ref="C31:D31"/>
    <mergeCell ref="E31:F31"/>
    <mergeCell ref="G31:H31"/>
    <mergeCell ref="I31:J31"/>
    <mergeCell ref="K31:L31"/>
    <mergeCell ref="M31:N31"/>
    <mergeCell ref="B1:F1"/>
    <mergeCell ref="J1:M1"/>
    <mergeCell ref="D2:F2"/>
    <mergeCell ref="B3:C3"/>
    <mergeCell ref="A6:F6"/>
    <mergeCell ref="A7:F7"/>
    <mergeCell ref="C30:D30"/>
    <mergeCell ref="E30:F30"/>
    <mergeCell ref="G30:H30"/>
    <mergeCell ref="I30:J30"/>
    <mergeCell ref="K30:L30"/>
    <mergeCell ref="M30:N30"/>
    <mergeCell ref="A8:F8"/>
    <mergeCell ref="A11:A13"/>
    <mergeCell ref="B11:B13"/>
    <mergeCell ref="C11:D12"/>
    <mergeCell ref="E11:F12"/>
    <mergeCell ref="G11:H12"/>
  </mergeCells>
  <pageMargins left="0.7" right="0.7" top="0.75" bottom="0.75" header="0.3" footer="0.3"/>
  <pageSetup paperSize="9" scale="71" orientation="landscape" r:id="rId1"/>
  <rowBreaks count="1" manualBreakCount="1">
    <brk id="43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5</vt:i4>
      </vt:variant>
    </vt:vector>
  </HeadingPairs>
  <TitlesOfParts>
    <vt:vector size="11" baseType="lpstr">
      <vt:lpstr>Спа </vt:lpstr>
      <vt:lpstr>Дамский заезд 2</vt:lpstr>
      <vt:lpstr>Лист2</vt:lpstr>
      <vt:lpstr>пол ст-ть ЛПК 2</vt:lpstr>
      <vt:lpstr>ст-ть ЛПК 2</vt:lpstr>
      <vt:lpstr>сторонние 2</vt:lpstr>
      <vt:lpstr>'Дамский заезд 2'!Область_печати</vt:lpstr>
      <vt:lpstr>'пол ст-ть ЛПК 2'!Область_печати</vt:lpstr>
      <vt:lpstr>'Спа '!Область_печати</vt:lpstr>
      <vt:lpstr>'сторонние 2'!Область_печати</vt:lpstr>
      <vt:lpstr>'ст-ть ЛПК 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2018-04-16T13:32:35Z</dcterms:modified>
</cp:coreProperties>
</file>