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78" firstSheet="8" activeTab="8"/>
  </bookViews>
  <sheets>
    <sheet name="стор" sheetId="5" state="hidden" r:id="rId1"/>
    <sheet name="лпк пол ст-ть" sheetId="6" state="hidden" r:id="rId2"/>
    <sheet name="лпк " sheetId="15" state="hidden" r:id="rId3"/>
    <sheet name="стор %" sheetId="16" state="hidden" r:id="rId4"/>
    <sheet name="лпк пол ст-ть %" sheetId="17" state="hidden" r:id="rId5"/>
    <sheet name="сторон нозологии" sheetId="18" state="hidden" r:id="rId6"/>
    <sheet name="расчет рожд заезд" sheetId="20" state="hidden" r:id="rId7"/>
    <sheet name="лпк пол ст-ть рождествен" sheetId="21" state="hidden" r:id="rId8"/>
    <sheet name="лпк  рождествен" sheetId="22" r:id="rId9"/>
    <sheet name="% лечения" sheetId="24" state="hidden" r:id="rId10"/>
  </sheets>
  <externalReferences>
    <externalReference r:id="rId11"/>
  </externalReferences>
  <definedNames>
    <definedName name="_xlnm.Print_Area" localSheetId="9">'% лечения'!$A$1:$E$52</definedName>
    <definedName name="_xlnm.Print_Area" localSheetId="2">'лпк '!$A$1:$H$74</definedName>
    <definedName name="_xlnm.Print_Area" localSheetId="8">'лпк  рождествен'!$A$1:$S$80</definedName>
    <definedName name="_xlnm.Print_Area" localSheetId="1">'лпк пол ст-ть'!$A$1:$E$52</definedName>
    <definedName name="_xlnm.Print_Area" localSheetId="4">'лпк пол ст-ть %'!$A$1:$E$84</definedName>
    <definedName name="_xlnm.Print_Area" localSheetId="7">'лпк пол ст-ть рождествен'!$A$1:$D$52</definedName>
    <definedName name="_xlnm.Print_Area" localSheetId="0">стор!$A$1:$E$57</definedName>
    <definedName name="_xlnm.Print_Area" localSheetId="3">'стор %'!$A$1:$D$50</definedName>
    <definedName name="_xlnm.Print_Area" localSheetId="5">'сторон нозологии'!$A$1:$F$32</definedName>
  </definedNames>
  <calcPr calcId="145621"/>
</workbook>
</file>

<file path=xl/calcChain.xml><?xml version="1.0" encoding="utf-8"?>
<calcChain xmlns="http://schemas.openxmlformats.org/spreadsheetml/2006/main">
  <c r="C40" i="24" l="1"/>
  <c r="C43" i="24"/>
  <c r="C32" i="24"/>
  <c r="C17" i="24"/>
  <c r="G13" i="22"/>
  <c r="C13" i="22" s="1"/>
  <c r="E13" i="22" s="1"/>
  <c r="R17" i="22"/>
  <c r="R22" i="22"/>
  <c r="R27" i="22"/>
  <c r="R32" i="22"/>
  <c r="R34" i="22"/>
  <c r="R37" i="22"/>
  <c r="R40" i="22"/>
  <c r="R43" i="22"/>
  <c r="R50" i="22"/>
  <c r="R52" i="22"/>
  <c r="R56" i="22"/>
  <c r="R60" i="22"/>
  <c r="R65" i="22"/>
  <c r="R68" i="22"/>
  <c r="R71" i="22"/>
  <c r="R74" i="22"/>
  <c r="J34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17" i="21"/>
  <c r="C43" i="21"/>
  <c r="E43" i="21" s="1"/>
  <c r="D43" i="21" s="1"/>
  <c r="C42" i="21"/>
  <c r="C41" i="21"/>
  <c r="C40" i="21"/>
  <c r="C38" i="21"/>
  <c r="E38" i="21" s="1"/>
  <c r="D38" i="21" s="1"/>
  <c r="C36" i="21"/>
  <c r="C34" i="21"/>
  <c r="E40" i="21"/>
  <c r="D40" i="21" s="1"/>
  <c r="C17" i="21"/>
  <c r="E17" i="21" s="1"/>
  <c r="D17" i="21" s="1"/>
  <c r="D18" i="21"/>
  <c r="D19" i="21"/>
  <c r="D21" i="21"/>
  <c r="D22" i="21"/>
  <c r="D23" i="21"/>
  <c r="D25" i="21"/>
  <c r="D26" i="21"/>
  <c r="D27" i="21"/>
  <c r="D29" i="21"/>
  <c r="D30" i="21"/>
  <c r="D31" i="21"/>
  <c r="D32" i="21"/>
  <c r="D36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D34" i="21" s="1"/>
  <c r="E35" i="21"/>
  <c r="E36" i="21"/>
  <c r="E37" i="21"/>
  <c r="E39" i="21"/>
  <c r="E41" i="21"/>
  <c r="D41" i="21" s="1"/>
  <c r="E42" i="21"/>
  <c r="D42" i="21" s="1"/>
  <c r="H20" i="21" l="1"/>
  <c r="H24" i="21"/>
  <c r="H28" i="21"/>
  <c r="H33" i="21"/>
  <c r="H35" i="21"/>
  <c r="H37" i="21"/>
  <c r="H39" i="21"/>
  <c r="E5" i="20"/>
  <c r="C36" i="24"/>
  <c r="C38" i="24"/>
  <c r="C41" i="24"/>
  <c r="C42" i="24"/>
  <c r="C34" i="24"/>
  <c r="C18" i="24"/>
  <c r="C19" i="24"/>
  <c r="C21" i="24"/>
  <c r="C22" i="24"/>
  <c r="C23" i="24"/>
  <c r="C25" i="24"/>
  <c r="C26" i="24"/>
  <c r="C27" i="24"/>
  <c r="C29" i="24"/>
  <c r="C30" i="24"/>
  <c r="C31" i="24"/>
  <c r="G1" i="24"/>
  <c r="H1" i="24" s="1"/>
  <c r="O56" i="22" l="1"/>
  <c r="O71" i="22"/>
  <c r="M47" i="15"/>
  <c r="O68" i="22"/>
  <c r="O74" i="22"/>
  <c r="Q14" i="22"/>
  <c r="Q15" i="22"/>
  <c r="Q18" i="22"/>
  <c r="Q19" i="22"/>
  <c r="Q20" i="22"/>
  <c r="Q23" i="22"/>
  <c r="Q24" i="22"/>
  <c r="Q25" i="22"/>
  <c r="Q28" i="22"/>
  <c r="Q29" i="22"/>
  <c r="Q30" i="22"/>
  <c r="Q32" i="22"/>
  <c r="Q35" i="22"/>
  <c r="Q38" i="22"/>
  <c r="Q41" i="22"/>
  <c r="Q44" i="22"/>
  <c r="Q45" i="22"/>
  <c r="Q46" i="22"/>
  <c r="Q48" i="22"/>
  <c r="Q13" i="22"/>
  <c r="G18" i="21"/>
  <c r="G19" i="21"/>
  <c r="G20" i="21"/>
  <c r="G21" i="21"/>
  <c r="G22" i="21"/>
  <c r="G23" i="21"/>
  <c r="G24" i="21"/>
  <c r="G25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17" i="21"/>
  <c r="O17" i="22"/>
  <c r="O22" i="22"/>
  <c r="O27" i="22"/>
  <c r="O34" i="22"/>
  <c r="O37" i="22"/>
  <c r="O40" i="22"/>
  <c r="O43" i="22"/>
  <c r="O50" i="22"/>
  <c r="O52" i="22"/>
  <c r="O60" i="22"/>
  <c r="O65" i="22"/>
  <c r="G14" i="22"/>
  <c r="C14" i="22" s="1"/>
  <c r="E14" i="22" s="1"/>
  <c r="H14" i="22"/>
  <c r="D14" i="22" s="1"/>
  <c r="F14" i="22" s="1"/>
  <c r="G15" i="22"/>
  <c r="C15" i="22" s="1"/>
  <c r="E15" i="22" s="1"/>
  <c r="H15" i="22"/>
  <c r="D15" i="22" s="1"/>
  <c r="F15" i="22" s="1"/>
  <c r="G18" i="22"/>
  <c r="C18" i="22" s="1"/>
  <c r="E18" i="22" s="1"/>
  <c r="H18" i="22"/>
  <c r="D18" i="22" s="1"/>
  <c r="F18" i="22" s="1"/>
  <c r="G19" i="22"/>
  <c r="C19" i="22" s="1"/>
  <c r="E19" i="22" s="1"/>
  <c r="H19" i="22"/>
  <c r="D19" i="22" s="1"/>
  <c r="F19" i="22" s="1"/>
  <c r="G20" i="22"/>
  <c r="C20" i="22" s="1"/>
  <c r="E20" i="22" s="1"/>
  <c r="H20" i="22"/>
  <c r="D20" i="22" s="1"/>
  <c r="F20" i="22" s="1"/>
  <c r="G23" i="22"/>
  <c r="C23" i="22" s="1"/>
  <c r="E23" i="22" s="1"/>
  <c r="H23" i="22"/>
  <c r="D23" i="22" s="1"/>
  <c r="F23" i="22" s="1"/>
  <c r="G24" i="22"/>
  <c r="C24" i="22" s="1"/>
  <c r="E24" i="22" s="1"/>
  <c r="H24" i="22"/>
  <c r="D24" i="22" s="1"/>
  <c r="F24" i="22" s="1"/>
  <c r="G25" i="22"/>
  <c r="C25" i="22" s="1"/>
  <c r="E25" i="22" s="1"/>
  <c r="H25" i="22"/>
  <c r="D25" i="22" s="1"/>
  <c r="F25" i="22" s="1"/>
  <c r="G28" i="22"/>
  <c r="C28" i="22" s="1"/>
  <c r="E28" i="22" s="1"/>
  <c r="H28" i="22"/>
  <c r="D28" i="22" s="1"/>
  <c r="F28" i="22" s="1"/>
  <c r="G29" i="22"/>
  <c r="C29" i="22" s="1"/>
  <c r="E29" i="22" s="1"/>
  <c r="H29" i="22"/>
  <c r="D29" i="22" s="1"/>
  <c r="F29" i="22" s="1"/>
  <c r="G30" i="22"/>
  <c r="C30" i="22" s="1"/>
  <c r="E30" i="22" s="1"/>
  <c r="H30" i="22"/>
  <c r="D30" i="22" s="1"/>
  <c r="F30" i="22" s="1"/>
  <c r="G32" i="22"/>
  <c r="J32" i="22" s="1"/>
  <c r="H32" i="22"/>
  <c r="G35" i="22"/>
  <c r="C35" i="22" s="1"/>
  <c r="E35" i="22" s="1"/>
  <c r="H35" i="22"/>
  <c r="D35" i="22" s="1"/>
  <c r="F35" i="22" s="1"/>
  <c r="G38" i="22"/>
  <c r="C38" i="22" s="1"/>
  <c r="E38" i="22" s="1"/>
  <c r="H38" i="22"/>
  <c r="D38" i="22" s="1"/>
  <c r="F38" i="22" s="1"/>
  <c r="G41" i="22"/>
  <c r="C41" i="22" s="1"/>
  <c r="E41" i="22" s="1"/>
  <c r="H41" i="22"/>
  <c r="D41" i="22" s="1"/>
  <c r="F41" i="22" s="1"/>
  <c r="G44" i="22"/>
  <c r="C44" i="22" s="1"/>
  <c r="E44" i="22" s="1"/>
  <c r="H44" i="22"/>
  <c r="D44" i="22" s="1"/>
  <c r="F44" i="22" s="1"/>
  <c r="G45" i="22"/>
  <c r="C45" i="22" s="1"/>
  <c r="E45" i="22" s="1"/>
  <c r="H45" i="22"/>
  <c r="D45" i="22" s="1"/>
  <c r="F45" i="22" s="1"/>
  <c r="G46" i="22"/>
  <c r="C46" i="22" s="1"/>
  <c r="E46" i="22" s="1"/>
  <c r="H46" i="22"/>
  <c r="D46" i="22" s="1"/>
  <c r="F46" i="22" s="1"/>
  <c r="G48" i="22"/>
  <c r="H48" i="22"/>
  <c r="D48" i="22" s="1"/>
  <c r="F48" i="22" s="1"/>
  <c r="H13" i="22"/>
  <c r="D13" i="22" s="1"/>
  <c r="F13" i="22" s="1"/>
  <c r="R13" i="22" s="1"/>
  <c r="C18" i="21"/>
  <c r="C19" i="21"/>
  <c r="C21" i="21"/>
  <c r="C22" i="21"/>
  <c r="C23" i="21"/>
  <c r="C25" i="21"/>
  <c r="C27" i="21"/>
  <c r="C29" i="21"/>
  <c r="C30" i="21"/>
  <c r="C31" i="21"/>
  <c r="C32" i="21"/>
  <c r="F26" i="21"/>
  <c r="C26" i="21" s="1"/>
  <c r="K63" i="22"/>
  <c r="K62" i="22"/>
  <c r="K61" i="22"/>
  <c r="K60" i="22"/>
  <c r="K58" i="22"/>
  <c r="K57" i="22"/>
  <c r="K56" i="22"/>
  <c r="K54" i="22"/>
  <c r="K53" i="22"/>
  <c r="K52" i="22"/>
  <c r="L52" i="22" s="1"/>
  <c r="K50" i="22"/>
  <c r="L50" i="22" s="1"/>
  <c r="K32" i="22"/>
  <c r="K29" i="22"/>
  <c r="K28" i="22"/>
  <c r="K27" i="22"/>
  <c r="L27" i="22" s="1"/>
  <c r="K25" i="22"/>
  <c r="K24" i="22"/>
  <c r="K23" i="22"/>
  <c r="K22" i="22"/>
  <c r="L22" i="22" s="1"/>
  <c r="K20" i="22"/>
  <c r="K19" i="22"/>
  <c r="K18" i="22"/>
  <c r="K17" i="22"/>
  <c r="L17" i="22" s="1"/>
  <c r="K15" i="22"/>
  <c r="K14" i="22"/>
  <c r="K13" i="22"/>
  <c r="E13" i="20"/>
  <c r="E14" i="20" s="1"/>
  <c r="E16" i="20" s="1"/>
  <c r="E12" i="20"/>
  <c r="L29" i="22" l="1"/>
  <c r="J14" i="22"/>
  <c r="J24" i="22"/>
  <c r="R45" i="22"/>
  <c r="R41" i="22"/>
  <c r="R35" i="22"/>
  <c r="R30" i="22"/>
  <c r="R28" i="22"/>
  <c r="R24" i="22"/>
  <c r="R20" i="22"/>
  <c r="R18" i="22"/>
  <c r="R14" i="22"/>
  <c r="G79" i="22"/>
  <c r="C79" i="22" s="1"/>
  <c r="E79" i="22" s="1"/>
  <c r="C48" i="22"/>
  <c r="E48" i="22" s="1"/>
  <c r="R48" i="22" s="1"/>
  <c r="L15" i="22"/>
  <c r="R46" i="22"/>
  <c r="R44" i="22"/>
  <c r="R38" i="22"/>
  <c r="R29" i="22"/>
  <c r="R25" i="22"/>
  <c r="R23" i="22"/>
  <c r="R19" i="22"/>
  <c r="R15" i="22"/>
  <c r="H17" i="21"/>
  <c r="H40" i="21"/>
  <c r="H32" i="21"/>
  <c r="H27" i="21"/>
  <c r="H21" i="21"/>
  <c r="H43" i="21"/>
  <c r="H38" i="21"/>
  <c r="H31" i="21"/>
  <c r="H25" i="21"/>
  <c r="H42" i="21"/>
  <c r="H36" i="21"/>
  <c r="H30" i="21"/>
  <c r="H23" i="21"/>
  <c r="H26" i="21"/>
  <c r="H41" i="21"/>
  <c r="H34" i="21"/>
  <c r="H29" i="21"/>
  <c r="H22" i="21"/>
  <c r="H19" i="21"/>
  <c r="H18" i="21"/>
  <c r="G76" i="22"/>
  <c r="C76" i="22" s="1"/>
  <c r="E76" i="22" s="1"/>
  <c r="G72" i="22"/>
  <c r="C72" i="22" s="1"/>
  <c r="E72" i="22" s="1"/>
  <c r="G66" i="22"/>
  <c r="C66" i="22" s="1"/>
  <c r="E66" i="22" s="1"/>
  <c r="G63" i="22"/>
  <c r="C63" i="22" s="1"/>
  <c r="E63" i="22" s="1"/>
  <c r="J28" i="22"/>
  <c r="G58" i="22"/>
  <c r="C58" i="22" s="1"/>
  <c r="E58" i="22" s="1"/>
  <c r="J20" i="22"/>
  <c r="J18" i="22"/>
  <c r="O14" i="22"/>
  <c r="O19" i="22"/>
  <c r="O15" i="22"/>
  <c r="G77" i="22"/>
  <c r="C77" i="22" s="1"/>
  <c r="E77" i="22" s="1"/>
  <c r="G75" i="22"/>
  <c r="C75" i="22" s="1"/>
  <c r="E75" i="22" s="1"/>
  <c r="G69" i="22"/>
  <c r="C69" i="22" s="1"/>
  <c r="E69" i="22" s="1"/>
  <c r="J29" i="22"/>
  <c r="J25" i="22"/>
  <c r="L23" i="22"/>
  <c r="J19" i="22"/>
  <c r="J13" i="22"/>
  <c r="O48" i="22"/>
  <c r="O45" i="22"/>
  <c r="O41" i="22"/>
  <c r="O35" i="22"/>
  <c r="O30" i="22"/>
  <c r="O28" i="22"/>
  <c r="O24" i="22"/>
  <c r="O20" i="22"/>
  <c r="O18" i="22"/>
  <c r="L24" i="22"/>
  <c r="O46" i="22"/>
  <c r="O44" i="22"/>
  <c r="O38" i="22"/>
  <c r="O32" i="22"/>
  <c r="O29" i="22"/>
  <c r="O25" i="22"/>
  <c r="O23" i="22"/>
  <c r="O13" i="22"/>
  <c r="L19" i="22"/>
  <c r="G54" i="22"/>
  <c r="C54" i="22" s="1"/>
  <c r="E54" i="22" s="1"/>
  <c r="G57" i="22"/>
  <c r="C57" i="22" s="1"/>
  <c r="E57" i="22" s="1"/>
  <c r="G62" i="22"/>
  <c r="C62" i="22" s="1"/>
  <c r="E62" i="22" s="1"/>
  <c r="L32" i="22"/>
  <c r="G53" i="22"/>
  <c r="C53" i="22" s="1"/>
  <c r="E53" i="22" s="1"/>
  <c r="G61" i="22"/>
  <c r="C61" i="22" s="1"/>
  <c r="E61" i="22" s="1"/>
  <c r="G26" i="21"/>
  <c r="L56" i="22"/>
  <c r="L60" i="22"/>
  <c r="J23" i="22"/>
  <c r="L28" i="22"/>
  <c r="L14" i="22"/>
  <c r="L18" i="22"/>
  <c r="L20" i="22"/>
  <c r="L25" i="22"/>
  <c r="J15" i="22"/>
  <c r="L13" i="22"/>
  <c r="E43" i="6"/>
  <c r="D43" i="6"/>
  <c r="H79" i="22" l="1"/>
  <c r="D79" i="22" s="1"/>
  <c r="F79" i="22" s="1"/>
  <c r="R79" i="22" s="1"/>
  <c r="L58" i="22"/>
  <c r="J58" i="22"/>
  <c r="H75" i="22"/>
  <c r="D75" i="22" s="1"/>
  <c r="F75" i="22" s="1"/>
  <c r="R75" i="22" s="1"/>
  <c r="J54" i="22"/>
  <c r="L63" i="22"/>
  <c r="J63" i="22"/>
  <c r="H63" i="22"/>
  <c r="D63" i="22" s="1"/>
  <c r="F63" i="22" s="1"/>
  <c r="R63" i="22" s="1"/>
  <c r="P53" i="22"/>
  <c r="H57" i="22"/>
  <c r="D57" i="22" s="1"/>
  <c r="F57" i="22" s="1"/>
  <c r="R57" i="22" s="1"/>
  <c r="H69" i="22"/>
  <c r="D69" i="22" s="1"/>
  <c r="F69" i="22" s="1"/>
  <c r="R69" i="22" s="1"/>
  <c r="H77" i="22"/>
  <c r="D77" i="22" s="1"/>
  <c r="F77" i="22" s="1"/>
  <c r="R77" i="22" s="1"/>
  <c r="H66" i="22"/>
  <c r="D66" i="22" s="1"/>
  <c r="F66" i="22" s="1"/>
  <c r="R66" i="22" s="1"/>
  <c r="H76" i="22"/>
  <c r="D76" i="22" s="1"/>
  <c r="F76" i="22" s="1"/>
  <c r="R76" i="22" s="1"/>
  <c r="H54" i="22"/>
  <c r="D54" i="22" s="1"/>
  <c r="F54" i="22" s="1"/>
  <c r="R54" i="22" s="1"/>
  <c r="L54" i="22"/>
  <c r="H62" i="22"/>
  <c r="D62" i="22" s="1"/>
  <c r="F62" i="22" s="1"/>
  <c r="R62" i="22" s="1"/>
  <c r="H58" i="22"/>
  <c r="D58" i="22" s="1"/>
  <c r="F58" i="22" s="1"/>
  <c r="R58" i="22" s="1"/>
  <c r="H72" i="22"/>
  <c r="D72" i="22" s="1"/>
  <c r="F72" i="22" s="1"/>
  <c r="R72" i="22" s="1"/>
  <c r="L53" i="22"/>
  <c r="J57" i="22"/>
  <c r="L62" i="22"/>
  <c r="J62" i="22"/>
  <c r="H53" i="22"/>
  <c r="J53" i="22"/>
  <c r="L57" i="22"/>
  <c r="H61" i="22"/>
  <c r="D61" i="22" s="1"/>
  <c r="F61" i="22" s="1"/>
  <c r="R61" i="22" s="1"/>
  <c r="J61" i="22"/>
  <c r="L61" i="22"/>
  <c r="E41" i="6"/>
  <c r="E42" i="6"/>
  <c r="D41" i="6"/>
  <c r="D42" i="6"/>
  <c r="E34" i="6"/>
  <c r="D34" i="6"/>
  <c r="E40" i="6"/>
  <c r="O79" i="22" l="1"/>
  <c r="O75" i="22"/>
  <c r="D53" i="22"/>
  <c r="F53" i="22" s="1"/>
  <c r="R53" i="22" s="1"/>
  <c r="O53" i="22"/>
  <c r="O63" i="22"/>
  <c r="O72" i="22"/>
  <c r="O54" i="22"/>
  <c r="O66" i="22"/>
  <c r="O77" i="22"/>
  <c r="O57" i="22"/>
  <c r="O62" i="22"/>
  <c r="O61" i="22"/>
  <c r="O58" i="22"/>
  <c r="O76" i="22"/>
  <c r="O69" i="22"/>
  <c r="D36" i="6"/>
  <c r="E36" i="6"/>
  <c r="D40" i="6"/>
  <c r="G18" i="18"/>
  <c r="G16" i="16" l="1"/>
  <c r="H16" i="16"/>
  <c r="C38" i="5" l="1"/>
  <c r="D54" i="17" l="1"/>
  <c r="D57" i="17"/>
  <c r="D61" i="17"/>
  <c r="D63" i="17"/>
  <c r="D66" i="17"/>
  <c r="D69" i="17"/>
  <c r="D71" i="17"/>
  <c r="D73" i="17"/>
  <c r="D19" i="17"/>
  <c r="D23" i="17"/>
  <c r="D27" i="17"/>
  <c r="D32" i="17"/>
  <c r="D36" i="17"/>
  <c r="D40" i="17"/>
  <c r="D44" i="17"/>
  <c r="D46" i="17"/>
  <c r="D48" i="17"/>
  <c r="F7" i="17"/>
  <c r="C16" i="17" l="1"/>
  <c r="C31" i="17"/>
  <c r="H14" i="16"/>
  <c r="C39" i="16" l="1"/>
  <c r="D16" i="16"/>
  <c r="C31" i="16"/>
  <c r="C16" i="16"/>
  <c r="D39" i="16"/>
  <c r="D31" i="16"/>
  <c r="D31" i="17"/>
  <c r="C26" i="6"/>
  <c r="E38" i="6" l="1"/>
  <c r="D25" i="17"/>
  <c r="C28" i="17"/>
  <c r="C58" i="17" s="1"/>
  <c r="D28" i="17"/>
  <c r="C29" i="17"/>
  <c r="C59" i="17" s="1"/>
  <c r="D29" i="17"/>
  <c r="C21" i="17"/>
  <c r="C53" i="17" s="1"/>
  <c r="D21" i="17"/>
  <c r="C30" i="17"/>
  <c r="C60" i="17" s="1"/>
  <c r="D30" i="17"/>
  <c r="D70" i="17"/>
  <c r="D45" i="17"/>
  <c r="C45" i="17" s="1"/>
  <c r="C70" i="17" s="1"/>
  <c r="D17" i="17"/>
  <c r="C25" i="17"/>
  <c r="C56" i="17" s="1"/>
  <c r="D42" i="17"/>
  <c r="C42" i="17" s="1"/>
  <c r="C68" i="17" s="1"/>
  <c r="D18" i="17"/>
  <c r="C17" i="17"/>
  <c r="E31" i="6"/>
  <c r="D31" i="6"/>
  <c r="D29" i="6"/>
  <c r="E29" i="6"/>
  <c r="E30" i="6"/>
  <c r="D30" i="6"/>
  <c r="E22" i="6"/>
  <c r="D22" i="6"/>
  <c r="D72" i="17"/>
  <c r="D18" i="6"/>
  <c r="D34" i="17"/>
  <c r="C34" i="17" s="1"/>
  <c r="E18" i="6"/>
  <c r="E26" i="6"/>
  <c r="D26" i="6"/>
  <c r="D74" i="17"/>
  <c r="E32" i="6"/>
  <c r="D32" i="6"/>
  <c r="D68" i="17"/>
  <c r="D56" i="17"/>
  <c r="D49" i="17"/>
  <c r="C49" i="17" s="1"/>
  <c r="C74" i="17" s="1"/>
  <c r="D41" i="17"/>
  <c r="C41" i="17" s="1"/>
  <c r="C67" i="17" s="1"/>
  <c r="D59" i="17"/>
  <c r="D38" i="17"/>
  <c r="C38" i="17" s="1"/>
  <c r="C65" i="17" s="1"/>
  <c r="D47" i="17"/>
  <c r="C47" i="17" s="1"/>
  <c r="C72" i="17" s="1"/>
  <c r="D53" i="17"/>
  <c r="D60" i="17"/>
  <c r="D58" i="17"/>
  <c r="C25" i="5"/>
  <c r="C21" i="5"/>
  <c r="C23" i="5"/>
  <c r="D37" i="17" l="1"/>
  <c r="C37" i="17" s="1"/>
  <c r="C64" i="17" s="1"/>
  <c r="D38" i="6"/>
  <c r="D76" i="17"/>
  <c r="C76" i="17" s="1"/>
  <c r="D77" i="17"/>
  <c r="C77" i="17" s="1"/>
  <c r="C17" i="5"/>
  <c r="D17" i="5" s="1"/>
  <c r="G17" i="5" s="1"/>
  <c r="D33" i="17"/>
  <c r="C33" i="17" s="1"/>
  <c r="C62" i="17" s="1"/>
  <c r="D16" i="17"/>
  <c r="C26" i="17"/>
  <c r="D26" i="17"/>
  <c r="C19" i="5"/>
  <c r="C20" i="17"/>
  <c r="C52" i="17" s="1"/>
  <c r="D20" i="17"/>
  <c r="C24" i="17"/>
  <c r="C55" i="17" s="1"/>
  <c r="D24" i="17"/>
  <c r="E19" i="6"/>
  <c r="C22" i="17"/>
  <c r="D22" i="17"/>
  <c r="C18" i="17"/>
  <c r="D35" i="17"/>
  <c r="C35" i="17" s="1"/>
  <c r="D19" i="6"/>
  <c r="E17" i="6"/>
  <c r="D17" i="6"/>
  <c r="E27" i="6"/>
  <c r="D27" i="6"/>
  <c r="D23" i="6"/>
  <c r="E23" i="6"/>
  <c r="E21" i="6"/>
  <c r="D21" i="6"/>
  <c r="E25" i="6"/>
  <c r="D25" i="6"/>
  <c r="D43" i="17"/>
  <c r="C43" i="17" s="1"/>
  <c r="D64" i="17"/>
  <c r="D67" i="17"/>
  <c r="D39" i="17"/>
  <c r="C39" i="17" s="1"/>
  <c r="D55" i="17"/>
  <c r="D65" i="17"/>
  <c r="D38" i="5"/>
  <c r="G37" i="16" s="1"/>
  <c r="C37" i="16" s="1"/>
  <c r="I17" i="5" l="1"/>
  <c r="K17" i="5" s="1"/>
  <c r="M17" i="5" s="1"/>
  <c r="D62" i="17"/>
  <c r="D52" i="17"/>
  <c r="O38" i="5" l="1"/>
  <c r="R38" i="5" s="1"/>
  <c r="H37" i="16"/>
  <c r="D37" i="16" s="1"/>
  <c r="O17" i="5"/>
  <c r="R17" i="5" s="1"/>
  <c r="I38" i="5"/>
  <c r="K38" i="5" s="1"/>
  <c r="M38" i="5" s="1"/>
  <c r="D26" i="5" l="1"/>
  <c r="G25" i="16" s="1"/>
  <c r="C25" i="16" s="1"/>
  <c r="E26" i="5" l="1"/>
  <c r="H25" i="16" s="1"/>
  <c r="D25" i="16" s="1"/>
  <c r="O26" i="5"/>
  <c r="R26" i="5" s="1"/>
  <c r="G26" i="5"/>
  <c r="I26" i="5"/>
  <c r="K26" i="5" s="1"/>
  <c r="M26" i="5" s="1"/>
  <c r="D36" i="5"/>
  <c r="G35" i="16" s="1"/>
  <c r="C35" i="16" s="1"/>
  <c r="D25" i="5"/>
  <c r="G24" i="16" s="1"/>
  <c r="C24" i="16" s="1"/>
  <c r="D27" i="5"/>
  <c r="G26" i="16" s="1"/>
  <c r="C26" i="16" s="1"/>
  <c r="D22" i="5"/>
  <c r="G21" i="16" s="1"/>
  <c r="C21" i="16" s="1"/>
  <c r="D23" i="5"/>
  <c r="G22" i="16" s="1"/>
  <c r="C22" i="16" s="1"/>
  <c r="D21" i="5"/>
  <c r="G20" i="16" s="1"/>
  <c r="C20" i="16" s="1"/>
  <c r="H20" i="16" l="1"/>
  <c r="D20" i="16" s="1"/>
  <c r="O21" i="5"/>
  <c r="R21" i="5" s="1"/>
  <c r="E25" i="5"/>
  <c r="O25" i="5" s="1"/>
  <c r="R25" i="5" s="1"/>
  <c r="H35" i="16"/>
  <c r="D35" i="16" s="1"/>
  <c r="H22" i="16"/>
  <c r="D22" i="16" s="1"/>
  <c r="I22" i="5"/>
  <c r="K22" i="5" s="1"/>
  <c r="M22" i="5" s="1"/>
  <c r="G25" i="5"/>
  <c r="G27" i="5"/>
  <c r="G21" i="5"/>
  <c r="I21" i="5"/>
  <c r="K21" i="5" s="1"/>
  <c r="M21" i="5" s="1"/>
  <c r="G23" i="5"/>
  <c r="G36" i="5"/>
  <c r="G22" i="5"/>
  <c r="G38" i="5"/>
  <c r="D18" i="5"/>
  <c r="G17" i="16" s="1"/>
  <c r="C17" i="16" s="1"/>
  <c r="D19" i="5"/>
  <c r="G18" i="16" s="1"/>
  <c r="C18" i="16" s="1"/>
  <c r="I36" i="5" l="1"/>
  <c r="K36" i="5" s="1"/>
  <c r="M36" i="5" s="1"/>
  <c r="O36" i="5"/>
  <c r="R36" i="5" s="1"/>
  <c r="O23" i="5"/>
  <c r="R23" i="5" s="1"/>
  <c r="I25" i="5"/>
  <c r="K25" i="5" s="1"/>
  <c r="M25" i="5" s="1"/>
  <c r="H24" i="16"/>
  <c r="D24" i="16" s="1"/>
  <c r="O27" i="5"/>
  <c r="R27" i="5" s="1"/>
  <c r="H26" i="16"/>
  <c r="D26" i="16" s="1"/>
  <c r="I23" i="5"/>
  <c r="K23" i="5" s="1"/>
  <c r="M23" i="5" s="1"/>
  <c r="I27" i="5"/>
  <c r="K27" i="5" s="1"/>
  <c r="M27" i="5" s="1"/>
  <c r="O22" i="5"/>
  <c r="R22" i="5" s="1"/>
  <c r="H21" i="16"/>
  <c r="D21" i="16" s="1"/>
  <c r="E19" i="5"/>
  <c r="H18" i="16" s="1"/>
  <c r="D18" i="16" s="1"/>
  <c r="H17" i="16"/>
  <c r="D17" i="16" s="1"/>
  <c r="G19" i="5"/>
  <c r="G18" i="5"/>
  <c r="D34" i="5"/>
  <c r="G33" i="16" s="1"/>
  <c r="C33" i="16" s="1"/>
  <c r="I19" i="5" l="1"/>
  <c r="K19" i="5" s="1"/>
  <c r="M19" i="5" s="1"/>
  <c r="O19" i="5"/>
  <c r="R19" i="5" s="1"/>
  <c r="I18" i="5"/>
  <c r="K18" i="5" s="1"/>
  <c r="M18" i="5" s="1"/>
  <c r="O18" i="5"/>
  <c r="R18" i="5" s="1"/>
  <c r="H33" i="16"/>
  <c r="D33" i="16" s="1"/>
  <c r="G34" i="5"/>
  <c r="K19" i="15"/>
  <c r="K20" i="15"/>
  <c r="K21" i="15"/>
  <c r="L21" i="15" s="1"/>
  <c r="K22" i="15"/>
  <c r="K23" i="15"/>
  <c r="K24" i="15"/>
  <c r="K25" i="15"/>
  <c r="L25" i="15" s="1"/>
  <c r="K26" i="15"/>
  <c r="K27" i="15"/>
  <c r="K28" i="15"/>
  <c r="K29" i="15"/>
  <c r="L29" i="15" s="1"/>
  <c r="K30" i="15"/>
  <c r="K31" i="15"/>
  <c r="K33" i="15"/>
  <c r="K45" i="15"/>
  <c r="L45" i="15" s="1"/>
  <c r="K46" i="15"/>
  <c r="L46" i="15" s="1"/>
  <c r="K47" i="15"/>
  <c r="K48" i="15"/>
  <c r="K49" i="15"/>
  <c r="L49" i="15" s="1"/>
  <c r="K50" i="15"/>
  <c r="K51" i="15"/>
  <c r="K52" i="15"/>
  <c r="L52" i="15" s="1"/>
  <c r="K53" i="15"/>
  <c r="K54" i="15"/>
  <c r="K55" i="15"/>
  <c r="K18" i="15"/>
  <c r="O34" i="5" l="1"/>
  <c r="R34" i="5" s="1"/>
  <c r="I34" i="5"/>
  <c r="K34" i="5" s="1"/>
  <c r="M34" i="5" s="1"/>
  <c r="L19" i="15"/>
  <c r="J18" i="15" l="1"/>
  <c r="L18" i="15"/>
  <c r="J19" i="15"/>
  <c r="L55" i="15" l="1"/>
  <c r="L26" i="15"/>
  <c r="L27" i="15"/>
  <c r="L22" i="15"/>
  <c r="L23" i="15"/>
  <c r="L51" i="15" l="1"/>
  <c r="L50" i="15"/>
  <c r="L47" i="15"/>
  <c r="J55" i="15"/>
  <c r="J26" i="15"/>
  <c r="J27" i="15"/>
  <c r="J22" i="15"/>
  <c r="J23" i="15"/>
  <c r="L48" i="15" l="1"/>
  <c r="J47" i="15"/>
  <c r="J48" i="15"/>
  <c r="J50" i="15"/>
  <c r="J51" i="15"/>
  <c r="L33" i="15" l="1"/>
  <c r="J33" i="15"/>
  <c r="L31" i="15" l="1"/>
  <c r="J31" i="15"/>
  <c r="L30" i="15"/>
  <c r="J30" i="15"/>
  <c r="L53" i="15" l="1"/>
  <c r="J53" i="15"/>
  <c r="L54" i="15"/>
  <c r="J54" i="15"/>
  <c r="L24" i="15" l="1"/>
  <c r="J24" i="15"/>
  <c r="J28" i="15"/>
  <c r="L28" i="15"/>
  <c r="L20" i="15"/>
  <c r="J20" i="15"/>
  <c r="D41" i="5" l="1"/>
  <c r="G40" i="16" s="1"/>
  <c r="C40" i="16" s="1"/>
  <c r="D40" i="5"/>
  <c r="G39" i="16" s="1"/>
  <c r="D42" i="5"/>
  <c r="G41" i="16" s="1"/>
  <c r="C41" i="16" s="1"/>
  <c r="D30" i="5"/>
  <c r="G29" i="16" s="1"/>
  <c r="C29" i="16" s="1"/>
  <c r="D29" i="5"/>
  <c r="G28" i="16" s="1"/>
  <c r="C28" i="16" s="1"/>
  <c r="D32" i="5"/>
  <c r="G31" i="16" s="1"/>
  <c r="D31" i="5"/>
  <c r="G30" i="16" s="1"/>
  <c r="C30" i="16" s="1"/>
  <c r="E40" i="5" l="1"/>
  <c r="E42" i="5"/>
  <c r="E32" i="5"/>
  <c r="I32" i="5" s="1"/>
  <c r="K32" i="5" s="1"/>
  <c r="M32" i="5" s="1"/>
  <c r="E41" i="5"/>
  <c r="H40" i="16" s="1"/>
  <c r="D40" i="16" s="1"/>
  <c r="G30" i="5"/>
  <c r="G31" i="5"/>
  <c r="I31" i="5"/>
  <c r="K31" i="5" s="1"/>
  <c r="M31" i="5" s="1"/>
  <c r="G42" i="5"/>
  <c r="G32" i="5"/>
  <c r="G40" i="5"/>
  <c r="I40" i="5"/>
  <c r="K40" i="5" s="1"/>
  <c r="M40" i="5" s="1"/>
  <c r="G29" i="5"/>
  <c r="G41" i="5"/>
  <c r="I41" i="5" l="1"/>
  <c r="K41" i="5" s="1"/>
  <c r="M41" i="5" s="1"/>
  <c r="O41" i="5"/>
  <c r="R41" i="5" s="1"/>
  <c r="O42" i="5"/>
  <c r="R42" i="5" s="1"/>
  <c r="H41" i="16"/>
  <c r="D41" i="16" s="1"/>
  <c r="O40" i="5"/>
  <c r="R40" i="5" s="1"/>
  <c r="H39" i="16"/>
  <c r="O30" i="5"/>
  <c r="R30" i="5" s="1"/>
  <c r="H29" i="16"/>
  <c r="D29" i="16" s="1"/>
  <c r="I29" i="5"/>
  <c r="K29" i="5" s="1"/>
  <c r="M29" i="5" s="1"/>
  <c r="H28" i="16"/>
  <c r="D28" i="16" s="1"/>
  <c r="O32" i="5"/>
  <c r="R32" i="5" s="1"/>
  <c r="H31" i="16"/>
  <c r="O31" i="5"/>
  <c r="R31" i="5" s="1"/>
  <c r="H30" i="16"/>
  <c r="D30" i="16" s="1"/>
  <c r="I42" i="5"/>
  <c r="K42" i="5" s="1"/>
  <c r="M42" i="5" s="1"/>
  <c r="I30" i="5"/>
  <c r="K30" i="5" s="1"/>
  <c r="M30" i="5" s="1"/>
  <c r="O29" i="5"/>
  <c r="R29" i="5" s="1"/>
</calcChain>
</file>

<file path=xl/sharedStrings.xml><?xml version="1.0" encoding="utf-8"?>
<sst xmlns="http://schemas.openxmlformats.org/spreadsheetml/2006/main" count="560" uniqueCount="138">
  <si>
    <t>с проживанием в одноместном номере</t>
  </si>
  <si>
    <t>с проживанием в двухместном номере</t>
  </si>
  <si>
    <t>с проживанием в номере Люкс</t>
  </si>
  <si>
    <t>Полный комплекс обслуживания (стационар) с одноразовым питанием</t>
  </si>
  <si>
    <t>нименование вида путевок</t>
  </si>
  <si>
    <t>№ п/п</t>
  </si>
  <si>
    <t>Полный комплекс обслуживания (стационар) с двухразовым питанием</t>
  </si>
  <si>
    <t>Полный комплекс обслуживания (стационар) с трехразовым питанием</t>
  </si>
  <si>
    <t>Амбулаторная путевка</t>
  </si>
  <si>
    <t>комплекс с одноразовым питанием</t>
  </si>
  <si>
    <t>комплекс с двухразовым питанием</t>
  </si>
  <si>
    <t>комплекс с трехразовым питанием</t>
  </si>
  <si>
    <t>Детская путевка (возраст с 4 до 14 лет в сопровождении взрослого) с одноразовым питанием</t>
  </si>
  <si>
    <t>Детская путевка (возраст с 4 до 14 лет в сопровождении взрослого) с двухразовым питанием</t>
  </si>
  <si>
    <t>Детская путевка (возраст с 4 до 14 лет в сопровождении взрослого) с трехразовым питанием</t>
  </si>
  <si>
    <t>Детская амбулаторная путевка (возратс с 4 до 14 лет в сопровождении взрослого)</t>
  </si>
  <si>
    <t>УТВЕРЖДАЮ</t>
  </si>
  <si>
    <t>СТОИМОСТЬ ПУТЕВОК</t>
  </si>
  <si>
    <t>Директор лечебно-профилактического объединения</t>
  </si>
  <si>
    <t>Согласовано:</t>
  </si>
  <si>
    <t>Долгина Н.Э.</t>
  </si>
  <si>
    <t>Комплекс "Мать и дитя"  с одноразовым питанием</t>
  </si>
  <si>
    <t>Комплекс "Мать и дитя" с двухразовым питанием</t>
  </si>
  <si>
    <t>Комплекс "Мать и дитя" с трехразовым питанием</t>
  </si>
  <si>
    <t>Комплекс "Мать и дитя"  с двумя детьми с одноразовым питанием</t>
  </si>
  <si>
    <t>Комплекс "Мать и дитя" с двумя детьми с двухразовым питанием</t>
  </si>
  <si>
    <t>Комплекс "Мать и дитя" с двумя детьми с трехразовым питанием</t>
  </si>
  <si>
    <t xml:space="preserve">с проживанием в двухместном номере </t>
  </si>
  <si>
    <t>(применяется для расчета суммы возмещения стоимости путевки предприятием)</t>
  </si>
  <si>
    <t>Председатель ППО "Сыктывкарский ЛПК"</t>
  </si>
  <si>
    <t>то же, с предоставлением амбулаторной путевки для ребенка</t>
  </si>
  <si>
    <t xml:space="preserve">для сторонних организаций и частных лиц </t>
  </si>
  <si>
    <t>стоимость путевки, руб.</t>
  </si>
  <si>
    <t>на 21 календарный день, руб.</t>
  </si>
  <si>
    <t>на 14 календарных дня, руб.</t>
  </si>
  <si>
    <t>Курсовка (лечение)</t>
  </si>
  <si>
    <t>питание двухразовое</t>
  </si>
  <si>
    <t>питание трехразовое</t>
  </si>
  <si>
    <t>однодневная путевка, руб.</t>
  </si>
  <si>
    <t>Примечание:</t>
  </si>
  <si>
    <t xml:space="preserve">УДЕЛЬНЫЙ ВЕС СТОИМОСТИ ЛЕЧЕНИЯ В  ПУТЕВКАХ </t>
  </si>
  <si>
    <t>уд. вес лечения, %</t>
  </si>
  <si>
    <t>было</t>
  </si>
  <si>
    <t>% увелич</t>
  </si>
  <si>
    <t>2. Для неработающих пенсионеров, а также других категорий отдыхающих, предусмотренных коллективным договором</t>
  </si>
  <si>
    <t>Директор по персоналу Монди группа Россия</t>
  </si>
  <si>
    <t>Первый заместитель генерального директора-финансовый директор АО "Монди СЛПК"</t>
  </si>
  <si>
    <t>в санаторий-профилакторий ЛПО АО "Монди СЛПК"</t>
  </si>
  <si>
    <t>Наименование вида путевок</t>
  </si>
  <si>
    <t>1. Для работников АО "Монди СЛПК", дочерних предприятий и их детей</t>
  </si>
  <si>
    <t>для членов профсоюза</t>
  </si>
  <si>
    <t>для не членов профсоюза</t>
  </si>
  <si>
    <t xml:space="preserve">                         СОГЛАСОВАНО</t>
  </si>
  <si>
    <t>__________________   Слободчиков А.И.</t>
  </si>
  <si>
    <t xml:space="preserve"> санатория-профилактория ЛПО АО "Монди СЛПК"</t>
  </si>
  <si>
    <t xml:space="preserve">Начальник отдела финансовой отчетности  и планирования </t>
  </si>
  <si>
    <t>Курсовка (лечение, без питания, с пользованием общей комнатой отдыха)</t>
  </si>
  <si>
    <t>_________________________   Уханов Д.В.</t>
  </si>
  <si>
    <t>_________________________        Уханов Д.В.</t>
  </si>
  <si>
    <t>______________________Уханов Д.В.</t>
  </si>
  <si>
    <t>________________Уханов Д.В.</t>
  </si>
  <si>
    <t>__________________Уханов Д.В.</t>
  </si>
  <si>
    <t>для работников АО "Монди СЛПК"</t>
  </si>
  <si>
    <t xml:space="preserve">для работников АО "Монди СЛПК" </t>
  </si>
  <si>
    <t>Комплекс "Мать и дитя" с тремя детьми с проживанием в двухместном номере с предоставлением амбулаторной путевки для одного из детей</t>
  </si>
  <si>
    <t>с проживанием в двухместном номере с предоставлением амбулаторной путевки для одного ребенка</t>
  </si>
  <si>
    <t>однодневная путевка, руб.( для расчета путевки продолжительностью 14 и более кал. дней)</t>
  </si>
  <si>
    <t>с проживанием в номере Люкс, с предоставлением амбулаторной путевки для ребенка</t>
  </si>
  <si>
    <t>(Стандартная)</t>
  </si>
  <si>
    <t>Меретина О.В.</t>
  </si>
  <si>
    <t>Вводится с _______________________ 2019 г.</t>
  </si>
  <si>
    <t>Вводится с ______________ 2019 г.</t>
  </si>
  <si>
    <t>Вводится с __________________ 2019 г.</t>
  </si>
  <si>
    <t>для сторонних организаций и частных лиц</t>
  </si>
  <si>
    <t>Вводится с ________________2019 года</t>
  </si>
  <si>
    <t>уд вес действ</t>
  </si>
  <si>
    <t>стоимость лечения</t>
  </si>
  <si>
    <t>(оздоровительные комплексы)</t>
  </si>
  <si>
    <t>комплекс для лечения опорно-двигательного аппарата*</t>
  </si>
  <si>
    <t>комплекс для лечения органов дыхания**</t>
  </si>
  <si>
    <t>комплекс для лечения сердечно-сосудистых заболеваний***</t>
  </si>
  <si>
    <t>на 14 календарных дней</t>
  </si>
  <si>
    <t>рост</t>
  </si>
  <si>
    <t>*Комплекс для лечения опорно-двигательного аппарата на 14 кал.дней  включает в себя: Массаж (2 ед.)-6 проц., Озокерито-, грязелечение- 6 проц., Аппаратное физиолечение по показаниям (магнит, лазер, электрофорез)- 6 проц., Лечебные ванны (минеральные, нафталановые)- 6 проц., ЛФК- 4 сеанса, бассейн-2 пос.</t>
  </si>
  <si>
    <t xml:space="preserve">**Комплекс для лечения органов дыхания на 14 кал.дней  включает в себя:   Массаж (2 ед.)-6 проц., Галотерапия- 6 проц., ингаляции- 6 проц., Лечебные души(циркулярный, игольчатый)- 6 проц., ппаратное физиолечение по показаниям (магнит, лазер, электрофорез)- 6 проц., бассейн-2 пос.    </t>
  </si>
  <si>
    <t xml:space="preserve"> ***Комплекс для лечения сердечно-сосудистых заболеваний на 14 кал.дней  включает в себя: Массаж (2 ед.)-6 проц.,сухая углекислая ванна- 6 проц., Аппаратное физиолечение по показаниям (магнит, лазер, электрофорез)- 6 проц., Лечебные ванны (минеральные, нафталановые)- 6 проц., бассейн-2 пос.</t>
  </si>
  <si>
    <t>Расчет:</t>
  </si>
  <si>
    <t>на один календарный   день</t>
  </si>
  <si>
    <t>Шабалина А.И.</t>
  </si>
  <si>
    <t>Детская амбулаторная путевка (возраст с 4 до 14 лет в сопровождении взрослого)</t>
  </si>
  <si>
    <t>на 6 кал дней</t>
  </si>
  <si>
    <t>на 12 кал дней</t>
  </si>
  <si>
    <t>6+6</t>
  </si>
  <si>
    <t>отклон</t>
  </si>
  <si>
    <t>на 25% больше однодневная путевка</t>
  </si>
  <si>
    <t>на 21 день</t>
  </si>
  <si>
    <t xml:space="preserve"> на 21 день факт</t>
  </si>
  <si>
    <t>план</t>
  </si>
  <si>
    <t>рост однодн пут</t>
  </si>
  <si>
    <t>14 календарных дней</t>
  </si>
  <si>
    <t>один календарный  день</t>
  </si>
  <si>
    <t>Стоимость путевки за 1 календарный день используется:</t>
  </si>
  <si>
    <t>1.при приобретении путевки продолжительностью менее 14 календарных дней;</t>
  </si>
  <si>
    <t xml:space="preserve">2.при покупке путевки более 14 календарных дней - покупатель приобретает путевку на 14 календарных </t>
  </si>
  <si>
    <t>дней, каждый последующий день пребывания оплачивается по цене одного календарного дня.</t>
  </si>
  <si>
    <t>Работа лечебных кабинетов осуществляется по шестидневной рабочей неделе с 12 до 20 часов в будние дни и с 8 до 14 часов - в субботу.</t>
  </si>
  <si>
    <t>Номер "Люкс" предназначен для проживания в нем 1 отдыхающего. При размещении в номере "Люкс" еще одного члена семьи, для него приобретается амбулаторная путевка.</t>
  </si>
  <si>
    <t>Регистрация отдыхающих производится за 5 дней до начала заезда в каб. № 202. При себе иметь паспорт, путевку, санаторно-курортную карту.</t>
  </si>
  <si>
    <t xml:space="preserve">По желанию отдыхающего питание в воскресенье (за весь день) может быть заменено сухим пайком по предварительной заявке (за 2 дня). </t>
  </si>
  <si>
    <t>однодневная путевка</t>
  </si>
  <si>
    <t>21 календарный день</t>
  </si>
  <si>
    <t>стандартная путевка</t>
  </si>
  <si>
    <t>Детская курсовка (возраст с 4 до 14 лет в сопровождении взрослого)</t>
  </si>
  <si>
    <t>Фотиева О.Г.</t>
  </si>
  <si>
    <t>1. Для работников АО "Монди СЛПК" и их детей</t>
  </si>
  <si>
    <t>Курсовка детская (возраст с 4 до 14 лет в сопровождении взрослого)</t>
  </si>
  <si>
    <t>Рождественский заезд</t>
  </si>
  <si>
    <t>Доп.затраты</t>
  </si>
  <si>
    <t>Праздничная атрибутика</t>
  </si>
  <si>
    <t>Сладкие призы</t>
  </si>
  <si>
    <t>Мероприятия:</t>
  </si>
  <si>
    <t>Поздравления деда Мороза</t>
  </si>
  <si>
    <t>Научная лаборатория</t>
  </si>
  <si>
    <t>планетарий</t>
  </si>
  <si>
    <t>мультики</t>
  </si>
  <si>
    <t>диско-пати</t>
  </si>
  <si>
    <t>в день</t>
  </si>
  <si>
    <t>Вводится с 1 ноября 2019 г.</t>
  </si>
  <si>
    <t>на 10 календарных дней</t>
  </si>
  <si>
    <t>СТОИМОСТЬ ПУТЕВОК на Рождественский заезд с 3 по 12 января 2020 года</t>
  </si>
  <si>
    <t>Директор по персоналу Монди группы в России</t>
  </si>
  <si>
    <t>для работников АО "Монди СЛПК"  на Рождественский заезд с 3 по 12 января 2020 года</t>
  </si>
  <si>
    <t>10 календарных дней</t>
  </si>
  <si>
    <t>на Рождественский заезд с 3 по 12 января 2020 года</t>
  </si>
  <si>
    <t>один кал.день</t>
  </si>
  <si>
    <t>6 календарных дней</t>
  </si>
  <si>
    <t>на 6 календарных дней</t>
  </si>
  <si>
    <t>Уд.вес стоимости лечения  в стоимости путевки,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</si>
</sst>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Calibri"/>
      <family val="2"/>
      <scheme val="minor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24">
    <xf numFmtId="0" fontId="0" fillId="0" borderId="0" xfId="0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4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37"/>
    </xf>
    <xf numFmtId="3" fontId="1" fillId="2" borderId="0" xfId="0" applyNumberFormat="1" applyFont="1" applyFill="1"/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/>
    <xf numFmtId="0" fontId="6" fillId="0" borderId="0" xfId="0" applyFont="1"/>
    <xf numFmtId="0" fontId="3" fillId="0" borderId="0" xfId="0" applyFont="1"/>
    <xf numFmtId="0" fontId="4" fillId="0" borderId="0" xfId="0" applyFont="1" applyAlignment="1"/>
    <xf numFmtId="3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wrapText="1"/>
    </xf>
    <xf numFmtId="0" fontId="2" fillId="0" borderId="7" xfId="0" applyFont="1" applyBorder="1" applyAlignment="1"/>
    <xf numFmtId="4" fontId="6" fillId="0" borderId="0" xfId="0" applyNumberFormat="1" applyFont="1"/>
    <xf numFmtId="2" fontId="6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NumberFormat="1"/>
    <xf numFmtId="1" fontId="4" fillId="0" borderId="1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6" fillId="0" borderId="0" xfId="0" applyNumberFormat="1" applyFont="1"/>
    <xf numFmtId="0" fontId="6" fillId="0" borderId="0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3" fontId="3" fillId="0" borderId="0" xfId="0" applyNumberFormat="1" applyFont="1" applyAlignment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1" xfId="0" applyFont="1" applyBorder="1"/>
    <xf numFmtId="0" fontId="12" fillId="0" borderId="2" xfId="0" applyFont="1" applyBorder="1" applyAlignment="1"/>
    <xf numFmtId="0" fontId="12" fillId="0" borderId="7" xfId="0" applyFont="1" applyBorder="1" applyAlignment="1"/>
    <xf numFmtId="0" fontId="13" fillId="0" borderId="1" xfId="0" applyFont="1" applyBorder="1"/>
    <xf numFmtId="0" fontId="7" fillId="0" borderId="2" xfId="0" applyFont="1" applyBorder="1" applyAlignment="1"/>
    <xf numFmtId="0" fontId="7" fillId="0" borderId="1" xfId="0" applyFont="1" applyFill="1" applyBorder="1" applyAlignment="1">
      <alignment wrapText="1"/>
    </xf>
    <xf numFmtId="3" fontId="13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indent="20"/>
    </xf>
    <xf numFmtId="0" fontId="11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1" xfId="0" applyFont="1" applyBorder="1"/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11" fillId="0" borderId="13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3" borderId="15" xfId="0" applyFont="1" applyFill="1" applyBorder="1" applyAlignment="1"/>
    <xf numFmtId="3" fontId="7" fillId="0" borderId="15" xfId="0" applyNumberFormat="1" applyFont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/>
    <xf numFmtId="1" fontId="11" fillId="0" borderId="7" xfId="0" applyNumberFormat="1" applyFont="1" applyBorder="1"/>
    <xf numFmtId="1" fontId="7" fillId="3" borderId="7" xfId="0" applyNumberFormat="1" applyFont="1" applyFill="1" applyBorder="1"/>
    <xf numFmtId="1" fontId="7" fillId="3" borderId="7" xfId="0" applyNumberFormat="1" applyFont="1" applyFill="1" applyBorder="1" applyAlignment="1">
      <alignment wrapText="1"/>
    </xf>
    <xf numFmtId="1" fontId="7" fillId="3" borderId="7" xfId="0" applyNumberFormat="1" applyFont="1" applyFill="1" applyBorder="1" applyAlignment="1"/>
    <xf numFmtId="0" fontId="7" fillId="3" borderId="21" xfId="0" applyFont="1" applyFill="1" applyBorder="1"/>
    <xf numFmtId="0" fontId="11" fillId="0" borderId="21" xfId="0" applyFont="1" applyBorder="1"/>
    <xf numFmtId="0" fontId="7" fillId="3" borderId="21" xfId="0" applyFont="1" applyFill="1" applyBorder="1" applyAlignment="1">
      <alignment horizontal="right" vertical="center"/>
    </xf>
    <xf numFmtId="0" fontId="11" fillId="0" borderId="22" xfId="0" applyFont="1" applyBorder="1"/>
    <xf numFmtId="1" fontId="11" fillId="0" borderId="11" xfId="0" applyNumberFormat="1" applyFont="1" applyBorder="1"/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9" xfId="0" applyFont="1" applyBorder="1"/>
    <xf numFmtId="0" fontId="7" fillId="0" borderId="11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0" fontId="16" fillId="0" borderId="10" xfId="0" applyFont="1" applyBorder="1"/>
    <xf numFmtId="0" fontId="7" fillId="0" borderId="25" xfId="0" applyFont="1" applyBorder="1"/>
    <xf numFmtId="0" fontId="7" fillId="0" borderId="0" xfId="0" applyFont="1" applyBorder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16" fillId="0" borderId="26" xfId="0" applyFont="1" applyBorder="1"/>
    <xf numFmtId="0" fontId="7" fillId="0" borderId="12" xfId="0" applyFont="1" applyBorder="1"/>
    <xf numFmtId="0" fontId="7" fillId="0" borderId="4" xfId="0" applyFont="1" applyBorder="1"/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/>
    </xf>
    <xf numFmtId="0" fontId="16" fillId="0" borderId="27" xfId="0" applyFont="1" applyBorder="1"/>
    <xf numFmtId="0" fontId="1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6" fillId="0" borderId="0" xfId="0" applyNumberFormat="1" applyFont="1"/>
    <xf numFmtId="3" fontId="11" fillId="0" borderId="0" xfId="0" applyNumberFormat="1" applyFont="1" applyAlignment="1">
      <alignment horizontal="left" indent="20"/>
    </xf>
    <xf numFmtId="1" fontId="7" fillId="0" borderId="1" xfId="0" applyNumberFormat="1" applyFont="1" applyBorder="1"/>
    <xf numFmtId="1" fontId="11" fillId="0" borderId="1" xfId="0" applyNumberFormat="1" applyFont="1" applyBorder="1"/>
    <xf numFmtId="2" fontId="14" fillId="0" borderId="2" xfId="0" applyNumberFormat="1" applyFont="1" applyBorder="1" applyAlignment="1">
      <alignment horizontal="center"/>
    </xf>
    <xf numFmtId="2" fontId="15" fillId="3" borderId="2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/>
    <xf numFmtId="2" fontId="14" fillId="0" borderId="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3" fontId="20" fillId="0" borderId="1" xfId="0" applyNumberFormat="1" applyFont="1" applyFill="1" applyBorder="1" applyAlignment="1"/>
    <xf numFmtId="0" fontId="9" fillId="0" borderId="0" xfId="0" applyFont="1" applyFill="1" applyAlignment="1">
      <alignment vertical="center"/>
    </xf>
    <xf numFmtId="1" fontId="4" fillId="4" borderId="1" xfId="0" applyNumberFormat="1" applyFont="1" applyFill="1" applyBorder="1" applyAlignment="1"/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1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2" fillId="0" borderId="0" xfId="0" applyFont="1"/>
    <xf numFmtId="0" fontId="21" fillId="2" borderId="0" xfId="0" applyFont="1" applyFill="1"/>
    <xf numFmtId="3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3" fontId="6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20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top" wrapText="1"/>
    </xf>
    <xf numFmtId="3" fontId="25" fillId="5" borderId="1" xfId="0" applyNumberFormat="1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vertical="center"/>
    </xf>
    <xf numFmtId="3" fontId="24" fillId="5" borderId="2" xfId="0" applyNumberFormat="1" applyFont="1" applyFill="1" applyBorder="1" applyAlignment="1">
      <alignment vertical="center"/>
    </xf>
    <xf numFmtId="1" fontId="25" fillId="5" borderId="1" xfId="0" applyNumberFormat="1" applyFont="1" applyFill="1" applyBorder="1"/>
    <xf numFmtId="3" fontId="25" fillId="5" borderId="2" xfId="0" applyNumberFormat="1" applyFont="1" applyFill="1" applyBorder="1" applyAlignment="1">
      <alignment vertical="center"/>
    </xf>
    <xf numFmtId="3" fontId="25" fillId="5" borderId="2" xfId="0" applyNumberFormat="1" applyFont="1" applyFill="1" applyBorder="1" applyAlignment="1">
      <alignment horizontal="center" vertical="center"/>
    </xf>
    <xf numFmtId="3" fontId="24" fillId="5" borderId="7" xfId="0" applyNumberFormat="1" applyFont="1" applyFill="1" applyBorder="1" applyAlignment="1">
      <alignment horizontal="left" vertical="center" wrapText="1"/>
    </xf>
    <xf numFmtId="1" fontId="24" fillId="5" borderId="7" xfId="0" applyNumberFormat="1" applyFont="1" applyFill="1" applyBorder="1" applyAlignment="1"/>
    <xf numFmtId="3" fontId="25" fillId="5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center" vertical="top" wrapText="1"/>
    </xf>
    <xf numFmtId="3" fontId="25" fillId="5" borderId="15" xfId="0" applyNumberFormat="1" applyFont="1" applyFill="1" applyBorder="1" applyAlignment="1">
      <alignment horizontal="center" vertical="center"/>
    </xf>
    <xf numFmtId="3" fontId="25" fillId="5" borderId="16" xfId="0" applyNumberFormat="1" applyFont="1" applyFill="1" applyBorder="1" applyAlignment="1">
      <alignment vertical="center"/>
    </xf>
    <xf numFmtId="3" fontId="24" fillId="5" borderId="16" xfId="0" applyNumberFormat="1" applyFont="1" applyFill="1" applyBorder="1" applyAlignment="1">
      <alignment vertical="center"/>
    </xf>
    <xf numFmtId="3" fontId="25" fillId="5" borderId="34" xfId="0" applyNumberFormat="1" applyFont="1" applyFill="1" applyBorder="1" applyAlignment="1">
      <alignment vertical="center"/>
    </xf>
    <xf numFmtId="3" fontId="24" fillId="5" borderId="35" xfId="0" applyNumberFormat="1" applyFont="1" applyFill="1" applyBorder="1" applyAlignment="1">
      <alignment vertical="center"/>
    </xf>
    <xf numFmtId="3" fontId="25" fillId="5" borderId="36" xfId="0" applyNumberFormat="1" applyFont="1" applyFill="1" applyBorder="1" applyAlignment="1">
      <alignment horizontal="center" vertical="center"/>
    </xf>
    <xf numFmtId="3" fontId="24" fillId="5" borderId="35" xfId="0" applyNumberFormat="1" applyFont="1" applyFill="1" applyBorder="1" applyAlignment="1">
      <alignment horizontal="left" vertical="center" wrapText="1"/>
    </xf>
    <xf numFmtId="3" fontId="24" fillId="5" borderId="36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left" vertical="center" wrapText="1"/>
    </xf>
    <xf numFmtId="3" fontId="7" fillId="3" borderId="3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3" fontId="23" fillId="0" borderId="6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6" borderId="15" xfId="0" applyNumberFormat="1" applyFont="1" applyFill="1" applyBorder="1" applyAlignment="1">
      <alignment horizontal="center" vertical="center"/>
    </xf>
    <xf numFmtId="3" fontId="26" fillId="6" borderId="16" xfId="0" applyNumberFormat="1" applyFont="1" applyFill="1" applyBorder="1" applyAlignment="1">
      <alignment vertical="center"/>
    </xf>
    <xf numFmtId="3" fontId="26" fillId="6" borderId="1" xfId="0" applyNumberFormat="1" applyFont="1" applyFill="1" applyBorder="1" applyAlignment="1">
      <alignment vertical="center"/>
    </xf>
    <xf numFmtId="3" fontId="26" fillId="6" borderId="2" xfId="0" applyNumberFormat="1" applyFont="1" applyFill="1" applyBorder="1" applyAlignment="1">
      <alignment vertical="center"/>
    </xf>
    <xf numFmtId="1" fontId="26" fillId="6" borderId="1" xfId="0" applyNumberFormat="1" applyFont="1" applyFill="1" applyBorder="1" applyAlignment="1"/>
    <xf numFmtId="1" fontId="26" fillId="6" borderId="1" xfId="0" applyNumberFormat="1" applyFont="1" applyFill="1" applyBorder="1" applyAlignment="1">
      <alignment wrapText="1"/>
    </xf>
    <xf numFmtId="3" fontId="26" fillId="6" borderId="1" xfId="0" applyNumberFormat="1" applyFont="1" applyFill="1" applyBorder="1" applyAlignment="1">
      <alignment horizontal="center" vertical="center"/>
    </xf>
    <xf numFmtId="3" fontId="26" fillId="6" borderId="37" xfId="0" applyNumberFormat="1" applyFont="1" applyFill="1" applyBorder="1" applyAlignment="1">
      <alignment vertical="center"/>
    </xf>
    <xf numFmtId="1" fontId="26" fillId="6" borderId="38" xfId="0" applyNumberFormat="1" applyFont="1" applyFill="1" applyBorder="1"/>
    <xf numFmtId="3" fontId="27" fillId="6" borderId="38" xfId="0" applyNumberFormat="1" applyFont="1" applyFill="1" applyBorder="1" applyAlignment="1">
      <alignment horizontal="center" vertical="center"/>
    </xf>
    <xf numFmtId="3" fontId="27" fillId="6" borderId="39" xfId="0" applyNumberFormat="1" applyFont="1" applyFill="1" applyBorder="1" applyAlignment="1">
      <alignment horizontal="center" vertical="center"/>
    </xf>
    <xf numFmtId="3" fontId="26" fillId="6" borderId="35" xfId="0" applyNumberFormat="1" applyFont="1" applyFill="1" applyBorder="1" applyAlignment="1">
      <alignment horizontal="left" vertical="center" wrapText="1"/>
    </xf>
    <xf numFmtId="3" fontId="26" fillId="6" borderId="7" xfId="0" applyNumberFormat="1" applyFont="1" applyFill="1" applyBorder="1" applyAlignment="1">
      <alignment horizontal="left" vertical="center" wrapText="1"/>
    </xf>
    <xf numFmtId="3" fontId="26" fillId="6" borderId="36" xfId="0" applyNumberFormat="1" applyFont="1" applyFill="1" applyBorder="1" applyAlignment="1">
      <alignment horizontal="left" vertical="center" wrapText="1"/>
    </xf>
    <xf numFmtId="0" fontId="26" fillId="6" borderId="35" xfId="0" applyFont="1" applyFill="1" applyBorder="1" applyAlignment="1">
      <alignment horizontal="left" vertical="center" wrapText="1"/>
    </xf>
    <xf numFmtId="0" fontId="26" fillId="6" borderId="7" xfId="0" applyFont="1" applyFill="1" applyBorder="1" applyAlignment="1">
      <alignment horizontal="left" vertical="center" wrapText="1"/>
    </xf>
    <xf numFmtId="0" fontId="26" fillId="6" borderId="36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7;&#1091;&#1090;&#1077;&#1074;&#1082;&#108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т-ти пит"/>
      <sheetName val="Уд.вес "/>
      <sheetName val="расчет доплат"/>
      <sheetName val="на встречу к идеалу"/>
    </sheetNames>
    <sheetDataSet>
      <sheetData sheetId="0">
        <row r="11">
          <cell r="G11">
            <v>10152635.536847999</v>
          </cell>
        </row>
        <row r="35">
          <cell r="K35">
            <v>2120</v>
          </cell>
        </row>
      </sheetData>
      <sheetData sheetId="1">
        <row r="38">
          <cell r="K38">
            <v>436.57657287206501</v>
          </cell>
          <cell r="M38">
            <v>830.88472929644342</v>
          </cell>
        </row>
        <row r="40">
          <cell r="M40">
            <v>955.5174386909099</v>
          </cell>
        </row>
      </sheetData>
      <sheetData sheetId="2">
        <row r="13">
          <cell r="D13">
            <v>157.10512943517583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7"/>
  <sheetViews>
    <sheetView view="pageBreakPreview" topLeftCell="A7" zoomScale="60" workbookViewId="0">
      <selection activeCell="A33" sqref="A33:E42"/>
    </sheetView>
  </sheetViews>
  <sheetFormatPr defaultColWidth="8.85546875" defaultRowHeight="15" x14ac:dyDescent="0.25"/>
  <cols>
    <col min="1" max="1" width="5" style="17" customWidth="1"/>
    <col min="2" max="2" width="68.28515625" style="17" customWidth="1"/>
    <col min="3" max="3" width="0.42578125" style="24" hidden="1" customWidth="1"/>
    <col min="4" max="4" width="20.28515625" style="22" customWidth="1"/>
    <col min="5" max="5" width="22.85546875" style="17" customWidth="1"/>
    <col min="6" max="6" width="10.28515625" style="17" customWidth="1"/>
    <col min="7" max="7" width="8.85546875" style="17"/>
    <col min="8" max="8" width="5" style="17" customWidth="1"/>
    <col min="9" max="10" width="8.85546875" style="17" hidden="1" customWidth="1"/>
    <col min="11" max="18" width="8.85546875" style="17"/>
    <col min="19" max="19" width="3.42578125" style="17" customWidth="1"/>
    <col min="20" max="16384" width="8.85546875" style="17"/>
  </cols>
  <sheetData>
    <row r="1" spans="1:20" x14ac:dyDescent="0.25">
      <c r="A1" s="122"/>
      <c r="B1" s="122"/>
      <c r="C1" s="266" t="s">
        <v>16</v>
      </c>
      <c r="D1" s="266"/>
      <c r="E1" s="266"/>
    </row>
    <row r="2" spans="1:20" ht="44.25" customHeight="1" x14ac:dyDescent="0.25">
      <c r="A2" s="123"/>
      <c r="B2" s="123"/>
      <c r="C2" s="267" t="s">
        <v>46</v>
      </c>
      <c r="D2" s="267"/>
      <c r="E2" s="267"/>
      <c r="P2" s="17" t="s">
        <v>86</v>
      </c>
    </row>
    <row r="3" spans="1:20" x14ac:dyDescent="0.25">
      <c r="A3" s="124"/>
      <c r="B3" s="122"/>
      <c r="C3" s="124"/>
      <c r="D3" s="121"/>
    </row>
    <row r="4" spans="1:20" x14ac:dyDescent="0.25">
      <c r="A4" s="122"/>
      <c r="B4" s="122"/>
      <c r="C4" s="268" t="s">
        <v>57</v>
      </c>
      <c r="D4" s="268"/>
      <c r="E4" s="268"/>
    </row>
    <row r="5" spans="1:20" x14ac:dyDescent="0.25">
      <c r="A5" s="125"/>
      <c r="B5" s="126"/>
      <c r="C5" s="127"/>
      <c r="D5" s="127"/>
    </row>
    <row r="6" spans="1:20" x14ac:dyDescent="0.25">
      <c r="A6" s="125"/>
      <c r="B6" s="125"/>
      <c r="C6" s="127"/>
      <c r="D6" s="111"/>
    </row>
    <row r="7" spans="1:20" ht="18.75" x14ac:dyDescent="0.3">
      <c r="A7" s="269" t="s">
        <v>17</v>
      </c>
      <c r="B7" s="269"/>
      <c r="C7" s="269"/>
      <c r="D7" s="269"/>
      <c r="E7" s="269"/>
    </row>
    <row r="8" spans="1:20" ht="18.75" x14ac:dyDescent="0.3">
      <c r="A8" s="269" t="s">
        <v>47</v>
      </c>
      <c r="B8" s="269"/>
      <c r="C8" s="269"/>
      <c r="D8" s="269"/>
      <c r="E8" s="269"/>
    </row>
    <row r="9" spans="1:20" ht="18.75" x14ac:dyDescent="0.3">
      <c r="A9" s="269" t="s">
        <v>31</v>
      </c>
      <c r="B9" s="269"/>
      <c r="C9" s="269"/>
      <c r="D9" s="269"/>
      <c r="E9" s="269"/>
    </row>
    <row r="10" spans="1:20" ht="18.75" x14ac:dyDescent="0.3">
      <c r="A10" s="269" t="s">
        <v>68</v>
      </c>
      <c r="B10" s="269"/>
      <c r="C10" s="269"/>
      <c r="D10" s="269"/>
      <c r="E10" s="269"/>
    </row>
    <row r="11" spans="1:20" ht="18.75" x14ac:dyDescent="0.3">
      <c r="A11" s="171"/>
      <c r="B11" s="171"/>
      <c r="C11" s="171"/>
      <c r="D11" s="171"/>
      <c r="E11" s="171"/>
    </row>
    <row r="12" spans="1:20" x14ac:dyDescent="0.25">
      <c r="A12" s="265" t="s">
        <v>70</v>
      </c>
      <c r="B12" s="265"/>
      <c r="C12" s="265"/>
      <c r="D12" s="265"/>
      <c r="E12" s="265"/>
    </row>
    <row r="13" spans="1:20" ht="15.75" thickBot="1" x14ac:dyDescent="0.3">
      <c r="A13" s="128"/>
      <c r="B13" s="128"/>
      <c r="C13" s="128"/>
      <c r="D13" s="128"/>
    </row>
    <row r="14" spans="1:20" ht="18.75" customHeight="1" x14ac:dyDescent="0.25">
      <c r="A14" s="272" t="s">
        <v>5</v>
      </c>
      <c r="B14" s="270" t="s">
        <v>48</v>
      </c>
      <c r="C14" s="132"/>
      <c r="D14" s="274" t="s">
        <v>32</v>
      </c>
      <c r="E14" s="275"/>
    </row>
    <row r="15" spans="1:20" ht="39" customHeight="1" x14ac:dyDescent="0.25">
      <c r="A15" s="273"/>
      <c r="B15" s="271"/>
      <c r="C15" s="137" t="s">
        <v>66</v>
      </c>
      <c r="D15" s="139" t="s">
        <v>99</v>
      </c>
      <c r="E15" s="133" t="s">
        <v>100</v>
      </c>
      <c r="F15" s="17" t="s">
        <v>94</v>
      </c>
      <c r="K15" s="17" t="s">
        <v>92</v>
      </c>
      <c r="N15" s="76" t="s">
        <v>97</v>
      </c>
      <c r="O15" s="17" t="s">
        <v>95</v>
      </c>
      <c r="Q15" s="17" t="s">
        <v>96</v>
      </c>
      <c r="T15" s="17" t="s">
        <v>98</v>
      </c>
    </row>
    <row r="16" spans="1:20" ht="20.100000000000001" customHeight="1" x14ac:dyDescent="0.25">
      <c r="A16" s="149">
        <v>1</v>
      </c>
      <c r="B16" s="144" t="s">
        <v>3</v>
      </c>
      <c r="C16" s="138"/>
      <c r="D16" s="140"/>
      <c r="E16" s="134"/>
      <c r="F16" s="90"/>
      <c r="G16" s="90" t="s">
        <v>82</v>
      </c>
      <c r="H16" s="90"/>
      <c r="I16" s="17" t="s">
        <v>90</v>
      </c>
      <c r="K16" s="17" t="s">
        <v>91</v>
      </c>
      <c r="M16" s="17" t="s">
        <v>93</v>
      </c>
    </row>
    <row r="17" spans="1:20" ht="20.100000000000001" customHeight="1" x14ac:dyDescent="0.25">
      <c r="A17" s="150"/>
      <c r="B17" s="145" t="s">
        <v>0</v>
      </c>
      <c r="C17" s="187">
        <f>C18+160</f>
        <v>2220</v>
      </c>
      <c r="D17" s="141">
        <f>C17*14</f>
        <v>31080</v>
      </c>
      <c r="E17" s="135">
        <v>2780</v>
      </c>
      <c r="F17" s="89">
        <v>28280</v>
      </c>
      <c r="G17" s="69">
        <f>D17/F17</f>
        <v>1.0990099009900991</v>
      </c>
      <c r="H17" s="68"/>
      <c r="I17" s="17">
        <f>E17*6</f>
        <v>16680</v>
      </c>
      <c r="K17" s="17">
        <f>I17*2</f>
        <v>33360</v>
      </c>
      <c r="M17" s="89">
        <f>K17-D17</f>
        <v>2280</v>
      </c>
      <c r="O17" s="17">
        <f>D17+E17*7</f>
        <v>50540</v>
      </c>
      <c r="Q17" s="17">
        <v>42420</v>
      </c>
      <c r="R17" s="69">
        <f>O17/Q17</f>
        <v>1.1914191419141915</v>
      </c>
      <c r="T17" s="17">
        <v>2220</v>
      </c>
    </row>
    <row r="18" spans="1:20" ht="20.100000000000001" customHeight="1" x14ac:dyDescent="0.25">
      <c r="A18" s="150"/>
      <c r="B18" s="145" t="s">
        <v>1</v>
      </c>
      <c r="C18" s="187">
        <v>2060</v>
      </c>
      <c r="D18" s="141">
        <f t="shared" ref="D18:D27" si="0">C18*14</f>
        <v>28840</v>
      </c>
      <c r="E18" s="135">
        <v>2570</v>
      </c>
      <c r="F18" s="89">
        <v>26320</v>
      </c>
      <c r="G18" s="69">
        <f t="shared" ref="G18:G42" si="1">D18/F18</f>
        <v>1.0957446808510638</v>
      </c>
      <c r="H18" s="68"/>
      <c r="I18" s="17">
        <f t="shared" ref="I18:I42" si="2">E18*6</f>
        <v>15420</v>
      </c>
      <c r="K18" s="17">
        <f t="shared" ref="K18:K42" si="3">I18*2</f>
        <v>30840</v>
      </c>
      <c r="M18" s="89">
        <f t="shared" ref="M18:M42" si="4">K18-D18</f>
        <v>2000</v>
      </c>
      <c r="O18" s="17">
        <f t="shared" ref="O18:O42" si="5">D18+E18*7</f>
        <v>46830</v>
      </c>
      <c r="Q18" s="17">
        <v>39480</v>
      </c>
      <c r="R18" s="69">
        <f t="shared" ref="R18:R42" si="6">O18/Q18</f>
        <v>1.1861702127659575</v>
      </c>
      <c r="T18" s="17">
        <v>2070</v>
      </c>
    </row>
    <row r="19" spans="1:20" ht="20.100000000000001" customHeight="1" x14ac:dyDescent="0.25">
      <c r="A19" s="150"/>
      <c r="B19" s="145" t="s">
        <v>2</v>
      </c>
      <c r="C19" s="187">
        <f>C18+2300</f>
        <v>4360</v>
      </c>
      <c r="D19" s="141">
        <f t="shared" si="0"/>
        <v>61040</v>
      </c>
      <c r="E19" s="135">
        <f t="shared" ref="E19:E42" si="7">D19/14*1.25</f>
        <v>5450</v>
      </c>
      <c r="F19" s="89">
        <v>56280</v>
      </c>
      <c r="G19" s="69">
        <f t="shared" si="1"/>
        <v>1.0845771144278606</v>
      </c>
      <c r="H19" s="68"/>
      <c r="I19" s="17">
        <f t="shared" si="2"/>
        <v>32700</v>
      </c>
      <c r="K19" s="17">
        <f t="shared" si="3"/>
        <v>65400</v>
      </c>
      <c r="M19" s="89">
        <f t="shared" si="4"/>
        <v>4360</v>
      </c>
      <c r="O19" s="17">
        <f t="shared" si="5"/>
        <v>99190</v>
      </c>
      <c r="Q19" s="17">
        <v>84420</v>
      </c>
      <c r="R19" s="69">
        <f t="shared" si="6"/>
        <v>1.1749585406301823</v>
      </c>
      <c r="T19" s="17">
        <v>4420</v>
      </c>
    </row>
    <row r="20" spans="1:20" ht="20.100000000000001" customHeight="1" x14ac:dyDescent="0.25">
      <c r="A20" s="149">
        <v>2</v>
      </c>
      <c r="B20" s="146" t="s">
        <v>6</v>
      </c>
      <c r="C20" s="188"/>
      <c r="D20" s="142"/>
      <c r="E20" s="136"/>
      <c r="F20" s="89"/>
      <c r="G20" s="69"/>
      <c r="H20" s="68"/>
      <c r="M20" s="89"/>
      <c r="R20" s="69"/>
    </row>
    <row r="21" spans="1:20" ht="20.100000000000001" customHeight="1" x14ac:dyDescent="0.25">
      <c r="A21" s="150"/>
      <c r="B21" s="145" t="s">
        <v>0</v>
      </c>
      <c r="C21" s="187">
        <f>C22+160</f>
        <v>2430</v>
      </c>
      <c r="D21" s="141">
        <f t="shared" si="0"/>
        <v>34020</v>
      </c>
      <c r="E21" s="135">
        <v>3040</v>
      </c>
      <c r="F21" s="89">
        <v>31080</v>
      </c>
      <c r="G21" s="69">
        <f t="shared" si="1"/>
        <v>1.0945945945945945</v>
      </c>
      <c r="H21" s="68"/>
      <c r="I21" s="17">
        <f t="shared" si="2"/>
        <v>18240</v>
      </c>
      <c r="K21" s="17">
        <f t="shared" si="3"/>
        <v>36480</v>
      </c>
      <c r="M21" s="89">
        <f t="shared" si="4"/>
        <v>2460</v>
      </c>
      <c r="O21" s="17">
        <f t="shared" si="5"/>
        <v>55300</v>
      </c>
      <c r="Q21" s="17">
        <v>46620</v>
      </c>
      <c r="R21" s="69">
        <f t="shared" si="6"/>
        <v>1.1861861861861862</v>
      </c>
      <c r="T21" s="17">
        <v>2440</v>
      </c>
    </row>
    <row r="22" spans="1:20" ht="20.100000000000001" customHeight="1" x14ac:dyDescent="0.25">
      <c r="A22" s="150"/>
      <c r="B22" s="145" t="s">
        <v>1</v>
      </c>
      <c r="C22" s="187">
        <v>2270</v>
      </c>
      <c r="D22" s="141">
        <f t="shared" si="0"/>
        <v>31780</v>
      </c>
      <c r="E22" s="135">
        <v>2840</v>
      </c>
      <c r="F22" s="89">
        <v>29120</v>
      </c>
      <c r="G22" s="69">
        <f t="shared" si="1"/>
        <v>1.0913461538461537</v>
      </c>
      <c r="H22" s="68"/>
      <c r="I22" s="17">
        <f t="shared" si="2"/>
        <v>17040</v>
      </c>
      <c r="K22" s="17">
        <f t="shared" si="3"/>
        <v>34080</v>
      </c>
      <c r="M22" s="89">
        <f t="shared" si="4"/>
        <v>2300</v>
      </c>
      <c r="O22" s="17">
        <f t="shared" si="5"/>
        <v>51660</v>
      </c>
      <c r="Q22" s="17">
        <v>43680</v>
      </c>
      <c r="R22" s="69">
        <f t="shared" si="6"/>
        <v>1.1826923076923077</v>
      </c>
      <c r="T22" s="17">
        <v>2290</v>
      </c>
    </row>
    <row r="23" spans="1:20" ht="20.100000000000001" customHeight="1" x14ac:dyDescent="0.25">
      <c r="A23" s="150"/>
      <c r="B23" s="145" t="s">
        <v>2</v>
      </c>
      <c r="C23" s="187">
        <f>C22+2300</f>
        <v>4570</v>
      </c>
      <c r="D23" s="141">
        <f t="shared" si="0"/>
        <v>63980</v>
      </c>
      <c r="E23" s="135">
        <v>5710</v>
      </c>
      <c r="F23" s="89">
        <v>59080</v>
      </c>
      <c r="G23" s="69">
        <f t="shared" si="1"/>
        <v>1.0829383886255923</v>
      </c>
      <c r="H23" s="68"/>
      <c r="I23" s="17">
        <f t="shared" si="2"/>
        <v>34260</v>
      </c>
      <c r="K23" s="17">
        <f t="shared" si="3"/>
        <v>68520</v>
      </c>
      <c r="M23" s="89">
        <f t="shared" si="4"/>
        <v>4540</v>
      </c>
      <c r="O23" s="17">
        <f t="shared" si="5"/>
        <v>103950</v>
      </c>
      <c r="Q23" s="17">
        <v>88620</v>
      </c>
      <c r="R23" s="69">
        <f t="shared" si="6"/>
        <v>1.1729857819905214</v>
      </c>
      <c r="T23" s="17">
        <v>4640</v>
      </c>
    </row>
    <row r="24" spans="1:20" ht="20.100000000000001" customHeight="1" x14ac:dyDescent="0.25">
      <c r="A24" s="149">
        <v>3</v>
      </c>
      <c r="B24" s="146" t="s">
        <v>7</v>
      </c>
      <c r="C24" s="188"/>
      <c r="D24" s="142"/>
      <c r="E24" s="136"/>
      <c r="F24" s="89"/>
      <c r="G24" s="69"/>
      <c r="H24" s="68"/>
      <c r="M24" s="89"/>
      <c r="R24" s="69"/>
    </row>
    <row r="25" spans="1:20" ht="20.100000000000001" customHeight="1" x14ac:dyDescent="0.25">
      <c r="A25" s="150"/>
      <c r="B25" s="145" t="s">
        <v>0</v>
      </c>
      <c r="C25" s="187">
        <f>C26+160</f>
        <v>2600</v>
      </c>
      <c r="D25" s="141">
        <f t="shared" si="0"/>
        <v>36400</v>
      </c>
      <c r="E25" s="135">
        <f t="shared" si="7"/>
        <v>3250</v>
      </c>
      <c r="F25" s="89">
        <v>32900</v>
      </c>
      <c r="G25" s="69">
        <f t="shared" si="1"/>
        <v>1.1063829787234043</v>
      </c>
      <c r="H25" s="68"/>
      <c r="I25" s="17">
        <f t="shared" si="2"/>
        <v>19500</v>
      </c>
      <c r="K25" s="17">
        <f t="shared" si="3"/>
        <v>39000</v>
      </c>
      <c r="M25" s="89">
        <f t="shared" si="4"/>
        <v>2600</v>
      </c>
      <c r="O25" s="17">
        <f t="shared" si="5"/>
        <v>59150</v>
      </c>
      <c r="Q25" s="17">
        <v>49350</v>
      </c>
      <c r="R25" s="69">
        <f t="shared" si="6"/>
        <v>1.198581560283688</v>
      </c>
      <c r="T25" s="17">
        <v>2580</v>
      </c>
    </row>
    <row r="26" spans="1:20" ht="20.100000000000001" customHeight="1" x14ac:dyDescent="0.25">
      <c r="A26" s="150"/>
      <c r="B26" s="145" t="s">
        <v>1</v>
      </c>
      <c r="C26" s="187">
        <v>2440</v>
      </c>
      <c r="D26" s="141">
        <f t="shared" si="0"/>
        <v>34160</v>
      </c>
      <c r="E26" s="135">
        <f t="shared" si="7"/>
        <v>3050</v>
      </c>
      <c r="F26" s="89">
        <v>30940</v>
      </c>
      <c r="G26" s="69">
        <f t="shared" si="1"/>
        <v>1.1040723981900453</v>
      </c>
      <c r="H26" s="68"/>
      <c r="I26" s="17">
        <f t="shared" si="2"/>
        <v>18300</v>
      </c>
      <c r="K26" s="17">
        <f t="shared" si="3"/>
        <v>36600</v>
      </c>
      <c r="M26" s="89">
        <f t="shared" si="4"/>
        <v>2440</v>
      </c>
      <c r="O26" s="17">
        <f t="shared" si="5"/>
        <v>55510</v>
      </c>
      <c r="Q26" s="17">
        <v>46410</v>
      </c>
      <c r="R26" s="69">
        <f t="shared" si="6"/>
        <v>1.196078431372549</v>
      </c>
      <c r="T26" s="17">
        <v>2430</v>
      </c>
    </row>
    <row r="27" spans="1:20" ht="20.100000000000001" customHeight="1" x14ac:dyDescent="0.25">
      <c r="A27" s="150"/>
      <c r="B27" s="145" t="s">
        <v>2</v>
      </c>
      <c r="C27" s="187">
        <v>4790</v>
      </c>
      <c r="D27" s="141">
        <f t="shared" si="0"/>
        <v>67060</v>
      </c>
      <c r="E27" s="135">
        <v>5990</v>
      </c>
      <c r="F27" s="89">
        <v>60900</v>
      </c>
      <c r="G27" s="69">
        <f t="shared" si="1"/>
        <v>1.1011494252873564</v>
      </c>
      <c r="H27" s="68"/>
      <c r="I27" s="17">
        <f t="shared" si="2"/>
        <v>35940</v>
      </c>
      <c r="K27" s="17">
        <f t="shared" si="3"/>
        <v>71880</v>
      </c>
      <c r="M27" s="89">
        <f t="shared" si="4"/>
        <v>4820</v>
      </c>
      <c r="O27" s="17">
        <f t="shared" si="5"/>
        <v>108990</v>
      </c>
      <c r="Q27" s="17">
        <v>91350</v>
      </c>
      <c r="R27" s="69">
        <f t="shared" si="6"/>
        <v>1.193103448275862</v>
      </c>
      <c r="T27" s="17">
        <v>4780</v>
      </c>
    </row>
    <row r="28" spans="1:20" ht="20.100000000000001" customHeight="1" x14ac:dyDescent="0.25">
      <c r="A28" s="149">
        <v>4</v>
      </c>
      <c r="B28" s="146" t="s">
        <v>8</v>
      </c>
      <c r="C28" s="188"/>
      <c r="D28" s="142"/>
      <c r="E28" s="136"/>
      <c r="F28" s="89"/>
      <c r="G28" s="69"/>
      <c r="H28" s="68"/>
      <c r="M28" s="89"/>
      <c r="R28" s="69"/>
    </row>
    <row r="29" spans="1:20" ht="20.100000000000001" customHeight="1" x14ac:dyDescent="0.25">
      <c r="A29" s="150"/>
      <c r="B29" s="145" t="s">
        <v>9</v>
      </c>
      <c r="C29" s="187">
        <v>1650</v>
      </c>
      <c r="D29" s="141">
        <f>C29*14</f>
        <v>23100</v>
      </c>
      <c r="E29" s="135">
        <v>2060</v>
      </c>
      <c r="F29" s="89">
        <v>20300</v>
      </c>
      <c r="G29" s="69">
        <f t="shared" si="1"/>
        <v>1.1379310344827587</v>
      </c>
      <c r="H29" s="68"/>
      <c r="I29" s="17">
        <f t="shared" si="2"/>
        <v>12360</v>
      </c>
      <c r="K29" s="17">
        <f t="shared" si="3"/>
        <v>24720</v>
      </c>
      <c r="M29" s="89">
        <f t="shared" si="4"/>
        <v>1620</v>
      </c>
      <c r="O29" s="17">
        <f t="shared" si="5"/>
        <v>37520</v>
      </c>
      <c r="Q29" s="17">
        <v>30450</v>
      </c>
      <c r="R29" s="69">
        <f t="shared" si="6"/>
        <v>1.2321839080459771</v>
      </c>
      <c r="T29" s="17">
        <v>1590</v>
      </c>
    </row>
    <row r="30" spans="1:20" ht="20.100000000000001" customHeight="1" x14ac:dyDescent="0.25">
      <c r="A30" s="150"/>
      <c r="B30" s="145" t="s">
        <v>10</v>
      </c>
      <c r="C30" s="187">
        <v>1840</v>
      </c>
      <c r="D30" s="141">
        <f t="shared" ref="D30:D31" si="8">C30*14</f>
        <v>25760</v>
      </c>
      <c r="E30" s="135">
        <v>2320</v>
      </c>
      <c r="F30" s="89">
        <v>23100</v>
      </c>
      <c r="G30" s="69">
        <f t="shared" si="1"/>
        <v>1.1151515151515152</v>
      </c>
      <c r="H30" s="68"/>
      <c r="I30" s="17">
        <f t="shared" si="2"/>
        <v>13920</v>
      </c>
      <c r="K30" s="17">
        <f t="shared" si="3"/>
        <v>27840</v>
      </c>
      <c r="M30" s="89">
        <f t="shared" si="4"/>
        <v>2080</v>
      </c>
      <c r="O30" s="17">
        <f t="shared" si="5"/>
        <v>42000</v>
      </c>
      <c r="Q30" s="17">
        <v>34650</v>
      </c>
      <c r="R30" s="69">
        <f t="shared" si="6"/>
        <v>1.2121212121212122</v>
      </c>
      <c r="T30" s="17">
        <v>1810</v>
      </c>
    </row>
    <row r="31" spans="1:20" ht="20.100000000000001" customHeight="1" x14ac:dyDescent="0.25">
      <c r="A31" s="150"/>
      <c r="B31" s="145" t="s">
        <v>11</v>
      </c>
      <c r="C31" s="187">
        <v>2030</v>
      </c>
      <c r="D31" s="141">
        <f t="shared" si="8"/>
        <v>28420</v>
      </c>
      <c r="E31" s="135">
        <v>2540</v>
      </c>
      <c r="F31" s="89">
        <v>24920</v>
      </c>
      <c r="G31" s="69">
        <f t="shared" si="1"/>
        <v>1.1404494382022472</v>
      </c>
      <c r="H31" s="68"/>
      <c r="I31" s="17">
        <f t="shared" si="2"/>
        <v>15240</v>
      </c>
      <c r="J31" s="76"/>
      <c r="K31" s="17">
        <f t="shared" si="3"/>
        <v>30480</v>
      </c>
      <c r="M31" s="89">
        <f t="shared" si="4"/>
        <v>2060</v>
      </c>
      <c r="O31" s="17">
        <f t="shared" si="5"/>
        <v>46200</v>
      </c>
      <c r="Q31" s="17">
        <v>37380</v>
      </c>
      <c r="R31" s="69">
        <f t="shared" si="6"/>
        <v>1.2359550561797752</v>
      </c>
      <c r="T31" s="17">
        <v>1960</v>
      </c>
    </row>
    <row r="32" spans="1:20" ht="20.100000000000001" customHeight="1" x14ac:dyDescent="0.25">
      <c r="A32" s="151">
        <v>5</v>
      </c>
      <c r="B32" s="147" t="s">
        <v>35</v>
      </c>
      <c r="C32" s="189">
        <v>1280</v>
      </c>
      <c r="D32" s="143">
        <f>C32*14</f>
        <v>17920</v>
      </c>
      <c r="E32" s="136">
        <f t="shared" si="7"/>
        <v>1600</v>
      </c>
      <c r="F32" s="89">
        <v>16800</v>
      </c>
      <c r="G32" s="69">
        <f t="shared" si="1"/>
        <v>1.0666666666666667</v>
      </c>
      <c r="H32" s="68"/>
      <c r="I32" s="17">
        <f t="shared" si="2"/>
        <v>9600</v>
      </c>
      <c r="K32" s="17">
        <f t="shared" si="3"/>
        <v>19200</v>
      </c>
      <c r="M32" s="89">
        <f t="shared" si="4"/>
        <v>1280</v>
      </c>
      <c r="O32" s="17">
        <f t="shared" si="5"/>
        <v>29120</v>
      </c>
      <c r="Q32" s="17">
        <v>25200</v>
      </c>
      <c r="R32" s="69">
        <f t="shared" si="6"/>
        <v>1.1555555555555554</v>
      </c>
      <c r="T32" s="17">
        <v>1320</v>
      </c>
    </row>
    <row r="33" spans="1:20" ht="20.100000000000001" customHeight="1" x14ac:dyDescent="0.25">
      <c r="A33" s="149">
        <v>6</v>
      </c>
      <c r="B33" s="148" t="s">
        <v>12</v>
      </c>
      <c r="C33" s="190"/>
      <c r="D33" s="142"/>
      <c r="E33" s="136"/>
      <c r="F33" s="89"/>
      <c r="G33" s="69"/>
      <c r="H33" s="68"/>
      <c r="M33" s="89"/>
      <c r="R33" s="69"/>
    </row>
    <row r="34" spans="1:20" ht="20.100000000000001" customHeight="1" x14ac:dyDescent="0.25">
      <c r="A34" s="150"/>
      <c r="B34" s="145" t="s">
        <v>1</v>
      </c>
      <c r="C34" s="187">
        <v>1550</v>
      </c>
      <c r="D34" s="141">
        <f>C34*14</f>
        <v>21700</v>
      </c>
      <c r="E34" s="135">
        <v>1940</v>
      </c>
      <c r="F34" s="89">
        <v>19740</v>
      </c>
      <c r="G34" s="69">
        <f t="shared" si="1"/>
        <v>1.0992907801418439</v>
      </c>
      <c r="H34" s="68"/>
      <c r="I34" s="17">
        <f t="shared" si="2"/>
        <v>11640</v>
      </c>
      <c r="K34" s="17">
        <f t="shared" si="3"/>
        <v>23280</v>
      </c>
      <c r="M34" s="89">
        <f t="shared" si="4"/>
        <v>1580</v>
      </c>
      <c r="O34" s="17">
        <f t="shared" si="5"/>
        <v>35280</v>
      </c>
      <c r="Q34" s="17">
        <v>29610</v>
      </c>
      <c r="R34" s="69">
        <f t="shared" si="6"/>
        <v>1.1914893617021276</v>
      </c>
      <c r="T34" s="17">
        <v>1550</v>
      </c>
    </row>
    <row r="35" spans="1:20" ht="20.100000000000001" customHeight="1" x14ac:dyDescent="0.25">
      <c r="A35" s="149">
        <v>7</v>
      </c>
      <c r="B35" s="148" t="s">
        <v>13</v>
      </c>
      <c r="C35" s="190"/>
      <c r="D35" s="142"/>
      <c r="E35" s="136"/>
      <c r="F35" s="89"/>
      <c r="G35" s="69"/>
      <c r="H35" s="68"/>
      <c r="M35" s="89"/>
      <c r="R35" s="69"/>
    </row>
    <row r="36" spans="1:20" ht="20.100000000000001" customHeight="1" x14ac:dyDescent="0.25">
      <c r="A36" s="150"/>
      <c r="B36" s="145" t="s">
        <v>1</v>
      </c>
      <c r="C36" s="187">
        <v>1700</v>
      </c>
      <c r="D36" s="141">
        <f>C36*14</f>
        <v>23800</v>
      </c>
      <c r="E36" s="135">
        <v>2120</v>
      </c>
      <c r="F36" s="89">
        <v>21840</v>
      </c>
      <c r="G36" s="69">
        <f t="shared" si="1"/>
        <v>1.0897435897435896</v>
      </c>
      <c r="H36" s="68"/>
      <c r="I36" s="17">
        <f t="shared" si="2"/>
        <v>12720</v>
      </c>
      <c r="K36" s="17">
        <f t="shared" si="3"/>
        <v>25440</v>
      </c>
      <c r="M36" s="89">
        <f t="shared" si="4"/>
        <v>1640</v>
      </c>
      <c r="O36" s="17">
        <f t="shared" si="5"/>
        <v>38640</v>
      </c>
      <c r="Q36" s="17">
        <v>32760</v>
      </c>
      <c r="R36" s="69">
        <f>O36/Q36</f>
        <v>1.1794871794871795</v>
      </c>
      <c r="T36" s="17">
        <v>1720</v>
      </c>
    </row>
    <row r="37" spans="1:20" ht="20.100000000000001" customHeight="1" x14ac:dyDescent="0.25">
      <c r="A37" s="149">
        <v>8</v>
      </c>
      <c r="B37" s="148" t="s">
        <v>14</v>
      </c>
      <c r="C37" s="190"/>
      <c r="D37" s="142"/>
      <c r="E37" s="136"/>
      <c r="F37" s="89"/>
      <c r="G37" s="69"/>
      <c r="H37" s="68"/>
      <c r="M37" s="89"/>
      <c r="R37" s="69"/>
    </row>
    <row r="38" spans="1:20" ht="20.100000000000001" customHeight="1" x14ac:dyDescent="0.25">
      <c r="A38" s="150"/>
      <c r="B38" s="145" t="s">
        <v>1</v>
      </c>
      <c r="C38" s="187">
        <f>C26*0.75</f>
        <v>1830</v>
      </c>
      <c r="D38" s="141">
        <f>C38*14</f>
        <v>25620</v>
      </c>
      <c r="E38" s="135">
        <v>2290</v>
      </c>
      <c r="F38" s="89">
        <v>23240</v>
      </c>
      <c r="G38" s="69">
        <f t="shared" si="1"/>
        <v>1.1024096385542168</v>
      </c>
      <c r="H38" s="68"/>
      <c r="I38" s="17">
        <f t="shared" si="2"/>
        <v>13740</v>
      </c>
      <c r="K38" s="17">
        <f t="shared" si="3"/>
        <v>27480</v>
      </c>
      <c r="M38" s="89">
        <f t="shared" si="4"/>
        <v>1860</v>
      </c>
      <c r="O38" s="17">
        <f t="shared" si="5"/>
        <v>41650</v>
      </c>
      <c r="Q38" s="17">
        <v>34860</v>
      </c>
      <c r="R38" s="69">
        <f t="shared" si="6"/>
        <v>1.1947791164658634</v>
      </c>
    </row>
    <row r="39" spans="1:20" ht="20.100000000000001" customHeight="1" x14ac:dyDescent="0.25">
      <c r="A39" s="149">
        <v>9</v>
      </c>
      <c r="B39" s="148" t="s">
        <v>89</v>
      </c>
      <c r="C39" s="190"/>
      <c r="D39" s="142"/>
      <c r="E39" s="136"/>
      <c r="F39" s="89"/>
      <c r="G39" s="69"/>
      <c r="H39" s="68"/>
      <c r="M39" s="89"/>
      <c r="R39" s="69"/>
    </row>
    <row r="40" spans="1:20" ht="20.100000000000001" customHeight="1" x14ac:dyDescent="0.25">
      <c r="A40" s="150"/>
      <c r="B40" s="145" t="s">
        <v>9</v>
      </c>
      <c r="C40" s="187">
        <v>1240</v>
      </c>
      <c r="D40" s="141">
        <f>C40*14</f>
        <v>17360</v>
      </c>
      <c r="E40" s="135">
        <f t="shared" si="7"/>
        <v>1550</v>
      </c>
      <c r="F40" s="89">
        <v>15260</v>
      </c>
      <c r="G40" s="69">
        <f t="shared" si="1"/>
        <v>1.1376146788990826</v>
      </c>
      <c r="H40" s="68"/>
      <c r="I40" s="17">
        <f t="shared" si="2"/>
        <v>9300</v>
      </c>
      <c r="K40" s="17">
        <f t="shared" si="3"/>
        <v>18600</v>
      </c>
      <c r="M40" s="89">
        <f t="shared" si="4"/>
        <v>1240</v>
      </c>
      <c r="O40" s="17">
        <f t="shared" si="5"/>
        <v>28210</v>
      </c>
      <c r="Q40" s="17">
        <v>22890</v>
      </c>
      <c r="R40" s="69">
        <f t="shared" si="6"/>
        <v>1.2324159021406729</v>
      </c>
    </row>
    <row r="41" spans="1:20" ht="20.100000000000001" customHeight="1" x14ac:dyDescent="0.25">
      <c r="A41" s="150"/>
      <c r="B41" s="145" t="s">
        <v>10</v>
      </c>
      <c r="C41" s="187">
        <v>1400</v>
      </c>
      <c r="D41" s="141">
        <f t="shared" ref="D41:D42" si="9">C41*14</f>
        <v>19600</v>
      </c>
      <c r="E41" s="135">
        <f t="shared" si="7"/>
        <v>1750</v>
      </c>
      <c r="F41" s="89">
        <v>17360</v>
      </c>
      <c r="G41" s="69">
        <f t="shared" si="1"/>
        <v>1.1290322580645162</v>
      </c>
      <c r="H41" s="68"/>
      <c r="I41" s="17">
        <f t="shared" si="2"/>
        <v>10500</v>
      </c>
      <c r="K41" s="17">
        <f t="shared" si="3"/>
        <v>21000</v>
      </c>
      <c r="M41" s="89">
        <f t="shared" si="4"/>
        <v>1400</v>
      </c>
      <c r="O41" s="17">
        <f t="shared" si="5"/>
        <v>31850</v>
      </c>
      <c r="Q41" s="17">
        <v>26040</v>
      </c>
      <c r="R41" s="69">
        <f t="shared" si="6"/>
        <v>1.2231182795698925</v>
      </c>
    </row>
    <row r="42" spans="1:20" ht="20.100000000000001" customHeight="1" x14ac:dyDescent="0.25">
      <c r="A42" s="152"/>
      <c r="B42" s="153" t="s">
        <v>11</v>
      </c>
      <c r="C42" s="191">
        <v>1520</v>
      </c>
      <c r="D42" s="154">
        <f t="shared" si="9"/>
        <v>21280</v>
      </c>
      <c r="E42" s="155">
        <f t="shared" si="7"/>
        <v>1900</v>
      </c>
      <c r="F42" s="89">
        <v>18760</v>
      </c>
      <c r="G42" s="69">
        <f t="shared" si="1"/>
        <v>1.1343283582089552</v>
      </c>
      <c r="H42" s="68"/>
      <c r="I42" s="17">
        <f t="shared" si="2"/>
        <v>11400</v>
      </c>
      <c r="K42" s="17">
        <f t="shared" si="3"/>
        <v>22800</v>
      </c>
      <c r="M42" s="89">
        <f t="shared" si="4"/>
        <v>1520</v>
      </c>
      <c r="O42" s="17">
        <f t="shared" si="5"/>
        <v>34580</v>
      </c>
      <c r="Q42" s="17">
        <v>28140</v>
      </c>
      <c r="R42" s="69">
        <f t="shared" si="6"/>
        <v>1.2288557213930349</v>
      </c>
    </row>
    <row r="43" spans="1:20" ht="23.25" customHeight="1" x14ac:dyDescent="0.25">
      <c r="A43" s="156" t="s">
        <v>101</v>
      </c>
      <c r="B43" s="157"/>
      <c r="C43" s="158"/>
      <c r="D43" s="159"/>
      <c r="E43" s="160"/>
    </row>
    <row r="44" spans="1:20" ht="22.5" customHeight="1" x14ac:dyDescent="0.25">
      <c r="A44" s="161" t="s">
        <v>102</v>
      </c>
      <c r="B44" s="162"/>
      <c r="C44" s="163"/>
      <c r="D44" s="164"/>
      <c r="E44" s="165"/>
    </row>
    <row r="45" spans="1:20" ht="21.75" customHeight="1" x14ac:dyDescent="0.25">
      <c r="A45" s="161" t="s">
        <v>103</v>
      </c>
      <c r="B45" s="162"/>
      <c r="C45" s="163"/>
      <c r="D45" s="164"/>
      <c r="E45" s="165"/>
    </row>
    <row r="46" spans="1:20" ht="22.5" customHeight="1" x14ac:dyDescent="0.25">
      <c r="A46" s="166" t="s">
        <v>104</v>
      </c>
      <c r="B46" s="167"/>
      <c r="C46" s="168"/>
      <c r="D46" s="169"/>
      <c r="E46" s="170"/>
    </row>
    <row r="47" spans="1:20" ht="33.75" customHeight="1" x14ac:dyDescent="0.25">
      <c r="A47" s="276" t="s">
        <v>107</v>
      </c>
      <c r="B47" s="277"/>
      <c r="C47" s="277"/>
      <c r="D47" s="277"/>
      <c r="E47" s="278"/>
    </row>
    <row r="48" spans="1:20" ht="34.5" customHeight="1" x14ac:dyDescent="0.25">
      <c r="A48" s="276" t="s">
        <v>105</v>
      </c>
      <c r="B48" s="277"/>
      <c r="C48" s="277"/>
      <c r="D48" s="277"/>
      <c r="E48" s="278"/>
    </row>
    <row r="49" spans="1:6" ht="30" customHeight="1" x14ac:dyDescent="0.25">
      <c r="A49" s="276" t="s">
        <v>108</v>
      </c>
      <c r="B49" s="277"/>
      <c r="C49" s="277"/>
      <c r="D49" s="277"/>
      <c r="E49" s="278"/>
    </row>
    <row r="50" spans="1:6" ht="32.25" customHeight="1" x14ac:dyDescent="0.25">
      <c r="A50" s="276" t="s">
        <v>106</v>
      </c>
      <c r="B50" s="277"/>
      <c r="C50" s="277"/>
      <c r="D50" s="277"/>
      <c r="E50" s="278"/>
    </row>
    <row r="51" spans="1:6" x14ac:dyDescent="0.25">
      <c r="A51" s="125"/>
      <c r="B51" s="125"/>
      <c r="C51" s="127"/>
      <c r="D51" s="111"/>
    </row>
    <row r="52" spans="1:6" ht="24" customHeight="1" x14ac:dyDescent="0.25">
      <c r="A52" s="281" t="s">
        <v>55</v>
      </c>
      <c r="B52" s="281"/>
      <c r="C52" s="279"/>
      <c r="D52" s="279"/>
      <c r="E52" s="130" t="s">
        <v>69</v>
      </c>
      <c r="F52" s="93"/>
    </row>
    <row r="53" spans="1:6" x14ac:dyDescent="0.25">
      <c r="A53" s="280"/>
      <c r="B53" s="280"/>
      <c r="C53" s="113"/>
      <c r="D53" s="131"/>
      <c r="E53" s="113"/>
      <c r="F53" s="30"/>
    </row>
    <row r="54" spans="1:6" ht="22.5" customHeight="1" x14ac:dyDescent="0.25">
      <c r="A54" s="280" t="s">
        <v>18</v>
      </c>
      <c r="B54" s="280"/>
      <c r="C54" s="279"/>
      <c r="D54" s="279"/>
      <c r="E54" s="130" t="s">
        <v>20</v>
      </c>
      <c r="F54" s="93"/>
    </row>
    <row r="55" spans="1:6" x14ac:dyDescent="0.25">
      <c r="A55" s="280"/>
      <c r="B55" s="280"/>
      <c r="C55" s="113"/>
      <c r="D55" s="131"/>
      <c r="E55" s="113"/>
      <c r="F55" s="30"/>
    </row>
    <row r="56" spans="1:6" ht="20.25" customHeight="1" x14ac:dyDescent="0.25">
      <c r="A56" s="280" t="s">
        <v>19</v>
      </c>
      <c r="B56" s="280"/>
      <c r="C56" s="113"/>
      <c r="D56" s="131"/>
      <c r="E56" s="113"/>
      <c r="F56" s="30"/>
    </row>
    <row r="57" spans="1:6" ht="21" customHeight="1" x14ac:dyDescent="0.25">
      <c r="A57" s="280" t="s">
        <v>45</v>
      </c>
      <c r="B57" s="280"/>
      <c r="C57" s="279"/>
      <c r="D57" s="279"/>
      <c r="E57" s="130" t="s">
        <v>88</v>
      </c>
      <c r="F57" s="93"/>
    </row>
  </sheetData>
  <mergeCells count="24">
    <mergeCell ref="C52:D52"/>
    <mergeCell ref="C54:D54"/>
    <mergeCell ref="A49:E49"/>
    <mergeCell ref="A50:E50"/>
    <mergeCell ref="C57:D57"/>
    <mergeCell ref="A55:B55"/>
    <mergeCell ref="A56:B56"/>
    <mergeCell ref="A57:B57"/>
    <mergeCell ref="A54:B54"/>
    <mergeCell ref="A53:B53"/>
    <mergeCell ref="A52:B52"/>
    <mergeCell ref="B14:B15"/>
    <mergeCell ref="A14:A15"/>
    <mergeCell ref="D14:E14"/>
    <mergeCell ref="A47:E47"/>
    <mergeCell ref="A48:E48"/>
    <mergeCell ref="A12:E12"/>
    <mergeCell ref="C1:E1"/>
    <mergeCell ref="C2:E2"/>
    <mergeCell ref="C4:E4"/>
    <mergeCell ref="A7:E7"/>
    <mergeCell ref="A8:E8"/>
    <mergeCell ref="A9:E9"/>
    <mergeCell ref="A10:E10"/>
  </mergeCells>
  <pageMargins left="1.0236220472440944" right="0.23622047244094491" top="0.35433070866141736" bottom="0.55118110236220474" header="0.31496062992125984" footer="0.31496062992125984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52"/>
  <sheetViews>
    <sheetView view="pageBreakPreview" topLeftCell="A13" zoomScale="70" zoomScaleSheetLayoutView="70" workbookViewId="0">
      <selection activeCell="F17" sqref="F17"/>
    </sheetView>
  </sheetViews>
  <sheetFormatPr defaultColWidth="9.140625" defaultRowHeight="15" x14ac:dyDescent="0.25"/>
  <cols>
    <col min="1" max="1" width="5" style="21" customWidth="1"/>
    <col min="2" max="2" width="82" style="21" customWidth="1"/>
    <col min="3" max="3" width="13.28515625" style="22" customWidth="1"/>
    <col min="4" max="4" width="12.28515625" style="21" customWidth="1"/>
    <col min="5" max="5" width="3.85546875" style="21" customWidth="1"/>
    <col min="6" max="6" width="14" style="21" customWidth="1"/>
    <col min="7" max="16384" width="9.140625" style="21"/>
  </cols>
  <sheetData>
    <row r="1" spans="1:8" x14ac:dyDescent="0.2">
      <c r="A1" s="16"/>
      <c r="B1" s="282" t="s">
        <v>16</v>
      </c>
      <c r="C1" s="282"/>
      <c r="D1" s="282"/>
      <c r="E1" s="282"/>
      <c r="G1" s="86">
        <f>'[1]Уд.вес '!$M$38</f>
        <v>830.88472929644342</v>
      </c>
      <c r="H1" s="86">
        <f>G1*0.75</f>
        <v>623.1635469723326</v>
      </c>
    </row>
    <row r="2" spans="1:8" ht="33" customHeight="1" x14ac:dyDescent="0.2">
      <c r="A2" s="31"/>
      <c r="B2" s="283" t="s">
        <v>46</v>
      </c>
      <c r="C2" s="283"/>
      <c r="D2" s="283"/>
      <c r="E2" s="283"/>
    </row>
    <row r="3" spans="1:8" x14ac:dyDescent="0.2">
      <c r="A3" s="18"/>
      <c r="B3" s="16"/>
      <c r="C3" s="222"/>
      <c r="D3" s="222"/>
      <c r="E3" s="25"/>
    </row>
    <row r="4" spans="1:8" x14ac:dyDescent="0.2">
      <c r="A4" s="16"/>
      <c r="B4" s="375" t="s">
        <v>58</v>
      </c>
      <c r="C4" s="375"/>
      <c r="D4" s="375"/>
      <c r="E4" s="375"/>
    </row>
    <row r="5" spans="1:8" ht="15.75" x14ac:dyDescent="0.25">
      <c r="A5" s="215"/>
      <c r="B5" s="215"/>
      <c r="C5" s="201"/>
      <c r="D5" s="201"/>
    </row>
    <row r="6" spans="1:8" x14ac:dyDescent="0.2">
      <c r="A6" s="339" t="s">
        <v>40</v>
      </c>
      <c r="B6" s="339"/>
      <c r="C6" s="339"/>
      <c r="D6" s="339"/>
      <c r="E6" s="339"/>
    </row>
    <row r="7" spans="1:8" x14ac:dyDescent="0.25">
      <c r="A7" s="294" t="s">
        <v>133</v>
      </c>
      <c r="B7" s="294"/>
      <c r="C7" s="294"/>
      <c r="D7" s="294"/>
      <c r="E7" s="294"/>
    </row>
    <row r="8" spans="1:8" x14ac:dyDescent="0.25">
      <c r="A8" s="294" t="s">
        <v>47</v>
      </c>
      <c r="B8" s="294"/>
      <c r="C8" s="294"/>
      <c r="D8" s="294"/>
      <c r="E8" s="294"/>
    </row>
    <row r="9" spans="1:8" ht="18.75" customHeight="1" x14ac:dyDescent="0.25">
      <c r="A9" s="295" t="s">
        <v>62</v>
      </c>
      <c r="B9" s="295"/>
      <c r="C9" s="295"/>
      <c r="D9" s="295"/>
      <c r="E9" s="295"/>
    </row>
    <row r="10" spans="1:8" ht="15.75" customHeight="1" x14ac:dyDescent="0.25">
      <c r="A10" s="296"/>
      <c r="B10" s="296"/>
      <c r="C10" s="296"/>
      <c r="D10" s="296"/>
      <c r="E10" s="296"/>
    </row>
    <row r="11" spans="1:8" x14ac:dyDescent="0.25">
      <c r="A11" s="213"/>
      <c r="B11" s="213"/>
      <c r="C11" s="213"/>
      <c r="D11" s="213"/>
      <c r="E11" s="213"/>
    </row>
    <row r="12" spans="1:8" x14ac:dyDescent="0.25">
      <c r="A12" s="285" t="s">
        <v>127</v>
      </c>
      <c r="B12" s="285"/>
      <c r="C12" s="285"/>
      <c r="D12" s="285"/>
      <c r="E12" s="285"/>
    </row>
    <row r="13" spans="1:8" ht="18.75" customHeight="1" x14ac:dyDescent="0.25">
      <c r="A13" s="288" t="s">
        <v>5</v>
      </c>
      <c r="B13" s="291" t="s">
        <v>48</v>
      </c>
      <c r="C13" s="397" t="s">
        <v>137</v>
      </c>
      <c r="D13" s="398"/>
      <c r="E13" s="398"/>
    </row>
    <row r="14" spans="1:8" ht="17.25" customHeight="1" x14ac:dyDescent="0.25">
      <c r="A14" s="289"/>
      <c r="B14" s="292"/>
      <c r="C14" s="399"/>
      <c r="D14" s="400"/>
      <c r="E14" s="400"/>
    </row>
    <row r="15" spans="1:8" ht="40.5" customHeight="1" x14ac:dyDescent="0.25">
      <c r="A15" s="290"/>
      <c r="B15" s="293"/>
      <c r="C15" s="401"/>
      <c r="D15" s="402"/>
      <c r="E15" s="402"/>
    </row>
    <row r="16" spans="1:8" ht="18" customHeight="1" x14ac:dyDescent="0.25">
      <c r="A16" s="14">
        <v>1</v>
      </c>
      <c r="B16" s="14" t="s">
        <v>3</v>
      </c>
      <c r="C16" s="394"/>
      <c r="D16" s="395"/>
      <c r="E16" s="396"/>
    </row>
    <row r="17" spans="1:7" x14ac:dyDescent="0.25">
      <c r="A17" s="32"/>
      <c r="B17" s="32" t="s">
        <v>0</v>
      </c>
      <c r="C17" s="394">
        <f>($G$1*10)/F17*100</f>
        <v>36.283175951809753</v>
      </c>
      <c r="D17" s="395"/>
      <c r="E17" s="396"/>
      <c r="F17" s="21">
        <v>22900</v>
      </c>
      <c r="G17" s="21">
        <v>0.42672823194578602</v>
      </c>
    </row>
    <row r="18" spans="1:7" x14ac:dyDescent="0.25">
      <c r="A18" s="32"/>
      <c r="B18" s="32" t="s">
        <v>1</v>
      </c>
      <c r="C18" s="394">
        <f t="shared" ref="C18:C31" si="0">($G$1*10)/F18*100</f>
        <v>39.008672736922222</v>
      </c>
      <c r="D18" s="395"/>
      <c r="E18" s="396"/>
      <c r="F18" s="21">
        <v>21300</v>
      </c>
      <c r="G18" s="21">
        <v>0.46418141301477284</v>
      </c>
    </row>
    <row r="19" spans="1:7" x14ac:dyDescent="0.25">
      <c r="A19" s="32"/>
      <c r="B19" s="32" t="s">
        <v>2</v>
      </c>
      <c r="C19" s="394">
        <f t="shared" si="0"/>
        <v>18.713620029199177</v>
      </c>
      <c r="D19" s="395"/>
      <c r="E19" s="396"/>
      <c r="F19" s="21">
        <v>44400</v>
      </c>
      <c r="G19" s="21">
        <v>0.20272772222134536</v>
      </c>
    </row>
    <row r="20" spans="1:7" x14ac:dyDescent="0.25">
      <c r="A20" s="37">
        <v>2</v>
      </c>
      <c r="B20" s="37" t="s">
        <v>6</v>
      </c>
      <c r="C20" s="394"/>
      <c r="D20" s="395"/>
      <c r="E20" s="396"/>
    </row>
    <row r="21" spans="1:7" x14ac:dyDescent="0.25">
      <c r="A21" s="32"/>
      <c r="B21" s="32" t="s">
        <v>0</v>
      </c>
      <c r="C21" s="394">
        <f t="shared" si="0"/>
        <v>33.63905786625277</v>
      </c>
      <c r="D21" s="395"/>
      <c r="E21" s="396"/>
      <c r="F21" s="21">
        <v>24700</v>
      </c>
      <c r="G21" s="21">
        <v>0.38970157607404482</v>
      </c>
    </row>
    <row r="22" spans="1:7" x14ac:dyDescent="0.25">
      <c r="A22" s="32"/>
      <c r="B22" s="32" t="s">
        <v>1</v>
      </c>
      <c r="C22" s="394">
        <f t="shared" si="0"/>
        <v>35.969035900278932</v>
      </c>
      <c r="D22" s="395"/>
      <c r="E22" s="396"/>
      <c r="F22" s="21">
        <v>23100</v>
      </c>
      <c r="G22" s="21">
        <v>0.42070112875769289</v>
      </c>
    </row>
    <row r="23" spans="1:7" x14ac:dyDescent="0.25">
      <c r="A23" s="32"/>
      <c r="B23" s="32" t="s">
        <v>2</v>
      </c>
      <c r="C23" s="394">
        <f t="shared" si="0"/>
        <v>17.984517950139466</v>
      </c>
      <c r="D23" s="395"/>
      <c r="E23" s="396"/>
      <c r="F23" s="21">
        <v>46200</v>
      </c>
      <c r="G23" s="21">
        <v>0.19397217050733412</v>
      </c>
    </row>
    <row r="24" spans="1:7" x14ac:dyDescent="0.25">
      <c r="A24" s="37">
        <v>3</v>
      </c>
      <c r="B24" s="37" t="s">
        <v>7</v>
      </c>
      <c r="C24" s="394"/>
      <c r="D24" s="395"/>
      <c r="E24" s="396"/>
    </row>
    <row r="25" spans="1:7" x14ac:dyDescent="0.25">
      <c r="A25" s="32"/>
      <c r="B25" s="32" t="s">
        <v>0</v>
      </c>
      <c r="C25" s="394">
        <f t="shared" si="0"/>
        <v>31.713157606734484</v>
      </c>
      <c r="D25" s="395"/>
      <c r="E25" s="396"/>
      <c r="F25" s="21">
        <v>26200</v>
      </c>
      <c r="G25" s="21">
        <v>0.36488641589531706</v>
      </c>
    </row>
    <row r="26" spans="1:7" x14ac:dyDescent="0.25">
      <c r="A26" s="32"/>
      <c r="B26" s="32" t="s">
        <v>1</v>
      </c>
      <c r="C26" s="394">
        <f t="shared" si="0"/>
        <v>33.775802003920461</v>
      </c>
      <c r="D26" s="395"/>
      <c r="E26" s="396"/>
      <c r="F26" s="21">
        <v>24600</v>
      </c>
      <c r="G26" s="21">
        <v>0.39192675910209596</v>
      </c>
    </row>
    <row r="27" spans="1:7" x14ac:dyDescent="0.25">
      <c r="A27" s="32"/>
      <c r="B27" s="32" t="s">
        <v>2</v>
      </c>
      <c r="C27" s="394">
        <f t="shared" si="0"/>
        <v>17.418967071204264</v>
      </c>
      <c r="D27" s="395"/>
      <c r="E27" s="396"/>
      <c r="F27" s="21">
        <v>47700</v>
      </c>
      <c r="G27" s="21">
        <v>0.18762108027874699</v>
      </c>
    </row>
    <row r="28" spans="1:7" x14ac:dyDescent="0.25">
      <c r="A28" s="37">
        <v>4</v>
      </c>
      <c r="B28" s="37" t="s">
        <v>8</v>
      </c>
      <c r="C28" s="394"/>
      <c r="D28" s="395"/>
      <c r="E28" s="396"/>
    </row>
    <row r="29" spans="1:7" x14ac:dyDescent="0.25">
      <c r="A29" s="37"/>
      <c r="B29" s="32" t="s">
        <v>9</v>
      </c>
      <c r="C29" s="394">
        <f t="shared" si="0"/>
        <v>47.209359619116107</v>
      </c>
      <c r="D29" s="395"/>
      <c r="E29" s="396"/>
      <c r="F29" s="21">
        <v>17600</v>
      </c>
      <c r="G29" s="21">
        <v>0.58404245021637624</v>
      </c>
    </row>
    <row r="30" spans="1:7" x14ac:dyDescent="0.25">
      <c r="A30" s="37"/>
      <c r="B30" s="32" t="s">
        <v>10</v>
      </c>
      <c r="C30" s="394">
        <f t="shared" si="0"/>
        <v>42.609473297253508</v>
      </c>
      <c r="D30" s="395"/>
      <c r="E30" s="396"/>
      <c r="F30" s="21">
        <v>19500</v>
      </c>
      <c r="G30" s="21">
        <v>0.51683364934347997</v>
      </c>
    </row>
    <row r="31" spans="1:7" x14ac:dyDescent="0.25">
      <c r="A31" s="37"/>
      <c r="B31" s="32" t="s">
        <v>11</v>
      </c>
      <c r="C31" s="394">
        <f t="shared" si="0"/>
        <v>39.755250205571457</v>
      </c>
      <c r="D31" s="395"/>
      <c r="E31" s="396"/>
      <c r="F31" s="21">
        <v>20900</v>
      </c>
      <c r="G31" s="21">
        <v>0.47407490229855037</v>
      </c>
    </row>
    <row r="32" spans="1:7" x14ac:dyDescent="0.25">
      <c r="A32" s="37">
        <v>5</v>
      </c>
      <c r="B32" s="37" t="s">
        <v>35</v>
      </c>
      <c r="C32" s="394">
        <f>($G$1*10*1.55)/F32*100</f>
        <v>84.174596758790017</v>
      </c>
      <c r="D32" s="395"/>
      <c r="E32" s="396"/>
      <c r="F32" s="21">
        <v>15300</v>
      </c>
      <c r="G32" s="21">
        <v>0.94187581379486007</v>
      </c>
    </row>
    <row r="33" spans="1:7" ht="18" customHeight="1" x14ac:dyDescent="0.2">
      <c r="A33" s="196">
        <v>6</v>
      </c>
      <c r="B33" s="197" t="s">
        <v>12</v>
      </c>
      <c r="C33" s="219"/>
      <c r="D33" s="220"/>
      <c r="E33" s="221"/>
    </row>
    <row r="34" spans="1:7" x14ac:dyDescent="0.2">
      <c r="A34" s="194"/>
      <c r="B34" s="195" t="s">
        <v>1</v>
      </c>
      <c r="C34" s="394">
        <f>($H$1*10)/F34*100</f>
        <v>39.069814857199532</v>
      </c>
      <c r="D34" s="395"/>
      <c r="E34" s="396"/>
      <c r="F34" s="21">
        <v>15950</v>
      </c>
      <c r="G34" s="21">
        <v>0.46418141301477289</v>
      </c>
    </row>
    <row r="35" spans="1:7" x14ac:dyDescent="0.2">
      <c r="A35" s="196">
        <v>7</v>
      </c>
      <c r="B35" s="197" t="s">
        <v>13</v>
      </c>
      <c r="C35" s="219"/>
      <c r="D35" s="220"/>
      <c r="E35" s="221"/>
    </row>
    <row r="36" spans="1:7" ht="15" customHeight="1" x14ac:dyDescent="0.2">
      <c r="A36" s="194"/>
      <c r="B36" s="195" t="s">
        <v>1</v>
      </c>
      <c r="C36" s="394">
        <f t="shared" ref="C36:C42" si="1">($H$1*10)/F36*100</f>
        <v>35.91720731829006</v>
      </c>
      <c r="D36" s="395"/>
      <c r="E36" s="396"/>
      <c r="F36" s="21">
        <v>17350</v>
      </c>
      <c r="G36" s="21">
        <v>0.42070112875769289</v>
      </c>
    </row>
    <row r="37" spans="1:7" x14ac:dyDescent="0.2">
      <c r="A37" s="196">
        <v>8</v>
      </c>
      <c r="B37" s="197" t="s">
        <v>14</v>
      </c>
      <c r="C37" s="219"/>
      <c r="D37" s="220"/>
      <c r="E37" s="221"/>
    </row>
    <row r="38" spans="1:7" x14ac:dyDescent="0.2">
      <c r="A38" s="194"/>
      <c r="B38" s="195" t="s">
        <v>1</v>
      </c>
      <c r="C38" s="394">
        <f t="shared" si="1"/>
        <v>33.775802003920461</v>
      </c>
      <c r="D38" s="395"/>
      <c r="E38" s="396"/>
      <c r="F38" s="21">
        <v>18450</v>
      </c>
      <c r="G38" s="21">
        <v>0.39192675910209596</v>
      </c>
    </row>
    <row r="39" spans="1:7" x14ac:dyDescent="0.2">
      <c r="A39" s="196">
        <v>9</v>
      </c>
      <c r="B39" s="197" t="s">
        <v>89</v>
      </c>
      <c r="C39" s="394"/>
      <c r="D39" s="395"/>
      <c r="E39" s="396"/>
    </row>
    <row r="40" spans="1:7" x14ac:dyDescent="0.2">
      <c r="A40" s="194"/>
      <c r="B40" s="195" t="s">
        <v>9</v>
      </c>
      <c r="C40" s="394">
        <f>($H$1*10)/F40*100</f>
        <v>47.03121109225151</v>
      </c>
      <c r="D40" s="395"/>
      <c r="E40" s="396"/>
      <c r="F40" s="21">
        <v>13250</v>
      </c>
      <c r="G40" s="21">
        <v>0.58404245021637624</v>
      </c>
    </row>
    <row r="41" spans="1:7" x14ac:dyDescent="0.2">
      <c r="A41" s="194"/>
      <c r="B41" s="195" t="s">
        <v>10</v>
      </c>
      <c r="C41" s="394">
        <f t="shared" si="1"/>
        <v>42.829109757548629</v>
      </c>
      <c r="D41" s="395"/>
      <c r="E41" s="396"/>
      <c r="F41" s="21">
        <v>14550</v>
      </c>
      <c r="G41" s="21">
        <v>0.51683364934347997</v>
      </c>
    </row>
    <row r="42" spans="1:7" x14ac:dyDescent="0.2">
      <c r="A42" s="194"/>
      <c r="B42" s="195" t="s">
        <v>11</v>
      </c>
      <c r="C42" s="394">
        <f t="shared" si="1"/>
        <v>39.818756995037226</v>
      </c>
      <c r="D42" s="395"/>
      <c r="E42" s="396"/>
      <c r="F42" s="21">
        <v>15650</v>
      </c>
      <c r="G42" s="21">
        <v>0.47407490229855037</v>
      </c>
    </row>
    <row r="43" spans="1:7" x14ac:dyDescent="0.2">
      <c r="A43" s="196">
        <v>10</v>
      </c>
      <c r="B43" s="65" t="s">
        <v>112</v>
      </c>
      <c r="C43" s="394">
        <f>($H$1*10*1.25)/F43*100</f>
        <v>68.030954909643299</v>
      </c>
      <c r="D43" s="395"/>
      <c r="E43" s="396"/>
      <c r="F43" s="21">
        <v>11450</v>
      </c>
      <c r="G43" s="21">
        <v>0.69768578799619263</v>
      </c>
    </row>
    <row r="44" spans="1:7" x14ac:dyDescent="0.2">
      <c r="A44" s="205"/>
      <c r="B44" s="206"/>
      <c r="C44" s="207"/>
      <c r="D44" s="207"/>
      <c r="E44" s="207"/>
    </row>
    <row r="45" spans="1:7" x14ac:dyDescent="0.25">
      <c r="A45" s="28"/>
      <c r="B45" s="28"/>
      <c r="C45" s="214"/>
      <c r="D45" s="28"/>
      <c r="E45" s="28"/>
    </row>
    <row r="46" spans="1:7" x14ac:dyDescent="0.25">
      <c r="A46" s="300" t="s">
        <v>55</v>
      </c>
      <c r="B46" s="300"/>
      <c r="C46" s="299" t="s">
        <v>69</v>
      </c>
      <c r="D46" s="299"/>
      <c r="E46" s="299"/>
    </row>
    <row r="47" spans="1:7" x14ac:dyDescent="0.2">
      <c r="A47" s="298"/>
      <c r="B47" s="298"/>
      <c r="C47" s="25"/>
      <c r="D47" s="30"/>
      <c r="E47" s="30"/>
    </row>
    <row r="48" spans="1:7" x14ac:dyDescent="0.2">
      <c r="A48" s="298" t="s">
        <v>18</v>
      </c>
      <c r="B48" s="298"/>
      <c r="C48" s="299" t="s">
        <v>20</v>
      </c>
      <c r="D48" s="299"/>
      <c r="E48" s="299"/>
    </row>
    <row r="49" spans="1:5" x14ac:dyDescent="0.2">
      <c r="A49" s="298"/>
      <c r="B49" s="298"/>
      <c r="C49" s="25"/>
      <c r="D49" s="30"/>
      <c r="E49" s="30"/>
    </row>
    <row r="50" spans="1:5" x14ac:dyDescent="0.2">
      <c r="A50" s="298" t="s">
        <v>19</v>
      </c>
      <c r="B50" s="298"/>
      <c r="C50" s="25"/>
      <c r="D50" s="30"/>
      <c r="E50" s="30"/>
    </row>
    <row r="51" spans="1:5" x14ac:dyDescent="0.2">
      <c r="A51" s="298"/>
      <c r="B51" s="298"/>
      <c r="C51" s="25"/>
      <c r="D51" s="30"/>
      <c r="E51" s="30"/>
    </row>
    <row r="52" spans="1:5" x14ac:dyDescent="0.2">
      <c r="A52" s="298" t="s">
        <v>130</v>
      </c>
      <c r="B52" s="298"/>
      <c r="C52" s="299" t="s">
        <v>88</v>
      </c>
      <c r="D52" s="299"/>
      <c r="E52" s="299"/>
    </row>
  </sheetData>
  <mergeCells count="47">
    <mergeCell ref="A9:E9"/>
    <mergeCell ref="A6:E6"/>
    <mergeCell ref="C13:E15"/>
    <mergeCell ref="B1:E1"/>
    <mergeCell ref="B2:E2"/>
    <mergeCell ref="B4:E4"/>
    <mergeCell ref="A7:E7"/>
    <mergeCell ref="A8:E8"/>
    <mergeCell ref="A10:E10"/>
    <mergeCell ref="A12:E12"/>
    <mergeCell ref="A13:A15"/>
    <mergeCell ref="B13:B15"/>
    <mergeCell ref="C27:E27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40:E40"/>
    <mergeCell ref="C28:E28"/>
    <mergeCell ref="C29:E29"/>
    <mergeCell ref="C30:E30"/>
    <mergeCell ref="C31:E31"/>
    <mergeCell ref="C32:E32"/>
    <mergeCell ref="C34:E34"/>
    <mergeCell ref="C36:E36"/>
    <mergeCell ref="C38:E38"/>
    <mergeCell ref="C39:E39"/>
    <mergeCell ref="A52:B52"/>
    <mergeCell ref="C52:E52"/>
    <mergeCell ref="C41:E41"/>
    <mergeCell ref="C42:E42"/>
    <mergeCell ref="C43:E43"/>
    <mergeCell ref="A46:B46"/>
    <mergeCell ref="C46:E46"/>
    <mergeCell ref="A47:B47"/>
    <mergeCell ref="A48:B48"/>
    <mergeCell ref="C48:E48"/>
    <mergeCell ref="A49:B49"/>
    <mergeCell ref="A50:B50"/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view="pageBreakPreview" zoomScale="70" zoomScaleSheetLayoutView="70" workbookViewId="0">
      <selection activeCell="C26" sqref="C26"/>
    </sheetView>
  </sheetViews>
  <sheetFormatPr defaultColWidth="9.140625" defaultRowHeight="15" x14ac:dyDescent="0.25"/>
  <cols>
    <col min="1" max="1" width="5" style="21" customWidth="1"/>
    <col min="2" max="2" width="68.42578125" style="21" customWidth="1"/>
    <col min="3" max="3" width="13.28515625" style="22" customWidth="1"/>
    <col min="4" max="4" width="13.5703125" style="21" customWidth="1"/>
    <col min="5" max="5" width="17.85546875" style="21" customWidth="1"/>
    <col min="6" max="16384" width="9.140625" style="21"/>
  </cols>
  <sheetData>
    <row r="1" spans="1:5" x14ac:dyDescent="0.2">
      <c r="A1" s="16"/>
      <c r="B1" s="16"/>
      <c r="C1" s="282" t="s">
        <v>16</v>
      </c>
      <c r="D1" s="282"/>
      <c r="E1" s="282"/>
    </row>
    <row r="2" spans="1:5" ht="33" customHeight="1" x14ac:dyDescent="0.2">
      <c r="A2" s="31"/>
      <c r="B2" s="31"/>
      <c r="C2" s="283" t="s">
        <v>46</v>
      </c>
      <c r="D2" s="283"/>
      <c r="E2" s="283"/>
    </row>
    <row r="3" spans="1:5" x14ac:dyDescent="0.2">
      <c r="A3" s="18"/>
      <c r="B3" s="16"/>
      <c r="C3" s="193"/>
      <c r="D3" s="193"/>
      <c r="E3" s="25"/>
    </row>
    <row r="4" spans="1:5" x14ac:dyDescent="0.2">
      <c r="A4" s="16"/>
      <c r="B4" s="16"/>
      <c r="C4" s="284" t="s">
        <v>58</v>
      </c>
      <c r="D4" s="284"/>
      <c r="E4" s="284"/>
    </row>
    <row r="5" spans="1:5" ht="15.75" x14ac:dyDescent="0.25">
      <c r="A5" s="29"/>
      <c r="B5" s="29"/>
      <c r="C5" s="201"/>
      <c r="D5" s="201"/>
    </row>
    <row r="6" spans="1:5" x14ac:dyDescent="0.25">
      <c r="A6" s="28"/>
      <c r="B6" s="28"/>
      <c r="C6" s="33"/>
      <c r="D6" s="28"/>
      <c r="E6" s="28"/>
    </row>
    <row r="7" spans="1:5" x14ac:dyDescent="0.25">
      <c r="A7" s="294" t="s">
        <v>17</v>
      </c>
      <c r="B7" s="294"/>
      <c r="C7" s="294"/>
      <c r="D7" s="294"/>
      <c r="E7" s="294"/>
    </row>
    <row r="8" spans="1:5" x14ac:dyDescent="0.25">
      <c r="A8" s="294" t="s">
        <v>47</v>
      </c>
      <c r="B8" s="294"/>
      <c r="C8" s="294"/>
      <c r="D8" s="294"/>
      <c r="E8" s="294"/>
    </row>
    <row r="9" spans="1:5" ht="18.75" customHeight="1" x14ac:dyDescent="0.25">
      <c r="A9" s="295" t="s">
        <v>62</v>
      </c>
      <c r="B9" s="295"/>
      <c r="C9" s="295"/>
      <c r="D9" s="295"/>
      <c r="E9" s="295"/>
    </row>
    <row r="10" spans="1:5" ht="15.75" customHeight="1" x14ac:dyDescent="0.25">
      <c r="A10" s="296" t="s">
        <v>28</v>
      </c>
      <c r="B10" s="296"/>
      <c r="C10" s="296"/>
      <c r="D10" s="296"/>
      <c r="E10" s="296"/>
    </row>
    <row r="11" spans="1:5" x14ac:dyDescent="0.25">
      <c r="A11" s="35"/>
      <c r="B11" s="35"/>
      <c r="C11" s="35"/>
      <c r="D11" s="35"/>
      <c r="E11" s="35"/>
    </row>
    <row r="12" spans="1:5" x14ac:dyDescent="0.25">
      <c r="A12" s="285" t="s">
        <v>71</v>
      </c>
      <c r="B12" s="285"/>
      <c r="C12" s="285"/>
      <c r="D12" s="285"/>
      <c r="E12" s="285"/>
    </row>
    <row r="13" spans="1:5" ht="18.75" customHeight="1" x14ac:dyDescent="0.25">
      <c r="A13" s="288" t="s">
        <v>5</v>
      </c>
      <c r="B13" s="291" t="s">
        <v>48</v>
      </c>
      <c r="C13" s="286" t="s">
        <v>32</v>
      </c>
      <c r="D13" s="287"/>
      <c r="E13" s="287"/>
    </row>
    <row r="14" spans="1:5" ht="17.25" customHeight="1" x14ac:dyDescent="0.25">
      <c r="A14" s="289"/>
      <c r="B14" s="292"/>
      <c r="C14" s="286" t="s">
        <v>111</v>
      </c>
      <c r="D14" s="287"/>
      <c r="E14" s="297"/>
    </row>
    <row r="15" spans="1:5" ht="40.5" customHeight="1" x14ac:dyDescent="0.25">
      <c r="A15" s="290"/>
      <c r="B15" s="293"/>
      <c r="C15" s="34" t="s">
        <v>38</v>
      </c>
      <c r="D15" s="34" t="s">
        <v>34</v>
      </c>
      <c r="E15" s="34" t="s">
        <v>33</v>
      </c>
    </row>
    <row r="16" spans="1:5" ht="18" customHeight="1" x14ac:dyDescent="0.25">
      <c r="A16" s="14">
        <v>1</v>
      </c>
      <c r="B16" s="14" t="s">
        <v>3</v>
      </c>
      <c r="C16" s="13"/>
      <c r="D16" s="15"/>
      <c r="E16" s="15"/>
    </row>
    <row r="17" spans="1:5" x14ac:dyDescent="0.25">
      <c r="A17" s="32"/>
      <c r="B17" s="32" t="s">
        <v>0</v>
      </c>
      <c r="C17" s="13">
        <v>1950</v>
      </c>
      <c r="D17" s="13">
        <f>C17*14</f>
        <v>27300</v>
      </c>
      <c r="E17" s="13">
        <f>C17*21</f>
        <v>40950</v>
      </c>
    </row>
    <row r="18" spans="1:5" x14ac:dyDescent="0.25">
      <c r="A18" s="32"/>
      <c r="B18" s="32" t="s">
        <v>1</v>
      </c>
      <c r="C18" s="13">
        <v>1790</v>
      </c>
      <c r="D18" s="13">
        <f t="shared" ref="D18:D32" si="0">C18*14</f>
        <v>25060</v>
      </c>
      <c r="E18" s="13">
        <f t="shared" ref="E18:E32" si="1">C18*21</f>
        <v>37590</v>
      </c>
    </row>
    <row r="19" spans="1:5" x14ac:dyDescent="0.25">
      <c r="A19" s="32"/>
      <c r="B19" s="32" t="s">
        <v>2</v>
      </c>
      <c r="C19" s="13">
        <v>4100</v>
      </c>
      <c r="D19" s="13">
        <f t="shared" si="0"/>
        <v>57400</v>
      </c>
      <c r="E19" s="13">
        <f t="shared" si="1"/>
        <v>86100</v>
      </c>
    </row>
    <row r="20" spans="1:5" x14ac:dyDescent="0.25">
      <c r="A20" s="37">
        <v>2</v>
      </c>
      <c r="B20" s="37" t="s">
        <v>6</v>
      </c>
      <c r="C20" s="13"/>
      <c r="D20" s="13"/>
      <c r="E20" s="13"/>
    </row>
    <row r="21" spans="1:5" x14ac:dyDescent="0.25">
      <c r="A21" s="32"/>
      <c r="B21" s="32" t="s">
        <v>0</v>
      </c>
      <c r="C21" s="13">
        <v>2130</v>
      </c>
      <c r="D21" s="13">
        <f t="shared" si="0"/>
        <v>29820</v>
      </c>
      <c r="E21" s="13">
        <f t="shared" si="1"/>
        <v>44730</v>
      </c>
    </row>
    <row r="22" spans="1:5" x14ac:dyDescent="0.25">
      <c r="A22" s="32"/>
      <c r="B22" s="32" t="s">
        <v>1</v>
      </c>
      <c r="C22" s="13">
        <v>1970</v>
      </c>
      <c r="D22" s="13">
        <f t="shared" si="0"/>
        <v>27580</v>
      </c>
      <c r="E22" s="13">
        <f t="shared" si="1"/>
        <v>41370</v>
      </c>
    </row>
    <row r="23" spans="1:5" x14ac:dyDescent="0.25">
      <c r="A23" s="32"/>
      <c r="B23" s="32" t="s">
        <v>2</v>
      </c>
      <c r="C23" s="13">
        <v>4280</v>
      </c>
      <c r="D23" s="13">
        <f t="shared" si="0"/>
        <v>59920</v>
      </c>
      <c r="E23" s="13">
        <f t="shared" si="1"/>
        <v>89880</v>
      </c>
    </row>
    <row r="24" spans="1:5" x14ac:dyDescent="0.25">
      <c r="A24" s="37">
        <v>3</v>
      </c>
      <c r="B24" s="37" t="s">
        <v>7</v>
      </c>
      <c r="C24" s="13"/>
      <c r="D24" s="13"/>
      <c r="E24" s="13"/>
    </row>
    <row r="25" spans="1:5" x14ac:dyDescent="0.25">
      <c r="A25" s="32"/>
      <c r="B25" s="32" t="s">
        <v>0</v>
      </c>
      <c r="C25" s="13">
        <v>2280</v>
      </c>
      <c r="D25" s="13">
        <f t="shared" si="0"/>
        <v>31920</v>
      </c>
      <c r="E25" s="13">
        <f t="shared" si="1"/>
        <v>47880</v>
      </c>
    </row>
    <row r="26" spans="1:5" x14ac:dyDescent="0.25">
      <c r="A26" s="32"/>
      <c r="B26" s="32" t="s">
        <v>1</v>
      </c>
      <c r="C26" s="13">
        <f>'[1]расчет ст-ти пит'!$K$35</f>
        <v>2120</v>
      </c>
      <c r="D26" s="13">
        <f t="shared" si="0"/>
        <v>29680</v>
      </c>
      <c r="E26" s="13">
        <f t="shared" si="1"/>
        <v>44520</v>
      </c>
    </row>
    <row r="27" spans="1:5" x14ac:dyDescent="0.25">
      <c r="A27" s="32"/>
      <c r="B27" s="32" t="s">
        <v>2</v>
      </c>
      <c r="C27" s="13">
        <v>4430</v>
      </c>
      <c r="D27" s="13">
        <f t="shared" si="0"/>
        <v>62020</v>
      </c>
      <c r="E27" s="13">
        <f t="shared" si="1"/>
        <v>93030</v>
      </c>
    </row>
    <row r="28" spans="1:5" x14ac:dyDescent="0.25">
      <c r="A28" s="37">
        <v>4</v>
      </c>
      <c r="B28" s="37" t="s">
        <v>8</v>
      </c>
      <c r="C28" s="13"/>
      <c r="D28" s="13"/>
      <c r="E28" s="13"/>
    </row>
    <row r="29" spans="1:5" x14ac:dyDescent="0.25">
      <c r="A29" s="37"/>
      <c r="B29" s="32" t="s">
        <v>9</v>
      </c>
      <c r="C29" s="13">
        <v>1420</v>
      </c>
      <c r="D29" s="13">
        <f t="shared" si="0"/>
        <v>19880</v>
      </c>
      <c r="E29" s="13">
        <f t="shared" si="1"/>
        <v>29820</v>
      </c>
    </row>
    <row r="30" spans="1:5" x14ac:dyDescent="0.25">
      <c r="A30" s="37"/>
      <c r="B30" s="32" t="s">
        <v>10</v>
      </c>
      <c r="C30" s="13">
        <v>1610</v>
      </c>
      <c r="D30" s="13">
        <f t="shared" si="0"/>
        <v>22540</v>
      </c>
      <c r="E30" s="13">
        <f t="shared" si="1"/>
        <v>33810</v>
      </c>
    </row>
    <row r="31" spans="1:5" x14ac:dyDescent="0.25">
      <c r="A31" s="37"/>
      <c r="B31" s="32" t="s">
        <v>11</v>
      </c>
      <c r="C31" s="13">
        <v>1750</v>
      </c>
      <c r="D31" s="13">
        <f t="shared" si="0"/>
        <v>24500</v>
      </c>
      <c r="E31" s="13">
        <f t="shared" si="1"/>
        <v>36750</v>
      </c>
    </row>
    <row r="32" spans="1:5" x14ac:dyDescent="0.25">
      <c r="A32" s="37">
        <v>5</v>
      </c>
      <c r="B32" s="37" t="s">
        <v>35</v>
      </c>
      <c r="C32" s="13">
        <v>1190</v>
      </c>
      <c r="D32" s="13">
        <f t="shared" si="0"/>
        <v>16660</v>
      </c>
      <c r="E32" s="13">
        <f t="shared" si="1"/>
        <v>24990</v>
      </c>
    </row>
    <row r="33" spans="1:5" ht="18" customHeight="1" x14ac:dyDescent="0.2">
      <c r="A33" s="196">
        <v>6</v>
      </c>
      <c r="B33" s="197" t="s">
        <v>12</v>
      </c>
      <c r="C33" s="200"/>
      <c r="D33" s="13"/>
      <c r="E33" s="13"/>
    </row>
    <row r="34" spans="1:5" x14ac:dyDescent="0.2">
      <c r="A34" s="194"/>
      <c r="B34" s="195" t="s">
        <v>1</v>
      </c>
      <c r="C34" s="198">
        <v>1340</v>
      </c>
      <c r="D34" s="198">
        <f>C34*14</f>
        <v>18760</v>
      </c>
      <c r="E34" s="198">
        <f>C34*21</f>
        <v>28140</v>
      </c>
    </row>
    <row r="35" spans="1:5" x14ac:dyDescent="0.2">
      <c r="A35" s="196">
        <v>7</v>
      </c>
      <c r="B35" s="197" t="s">
        <v>13</v>
      </c>
      <c r="C35" s="199"/>
      <c r="D35" s="198"/>
      <c r="E35" s="198"/>
    </row>
    <row r="36" spans="1:5" ht="15" customHeight="1" x14ac:dyDescent="0.2">
      <c r="A36" s="194"/>
      <c r="B36" s="195" t="s">
        <v>1</v>
      </c>
      <c r="C36" s="198">
        <v>1480</v>
      </c>
      <c r="D36" s="198">
        <f t="shared" ref="D36:D42" si="2">C36*14</f>
        <v>20720</v>
      </c>
      <c r="E36" s="198">
        <f t="shared" ref="E36:E42" si="3">C36*21</f>
        <v>31080</v>
      </c>
    </row>
    <row r="37" spans="1:5" x14ac:dyDescent="0.2">
      <c r="A37" s="196">
        <v>8</v>
      </c>
      <c r="B37" s="197" t="s">
        <v>14</v>
      </c>
      <c r="C37" s="199"/>
      <c r="D37" s="198"/>
      <c r="E37" s="198"/>
    </row>
    <row r="38" spans="1:5" x14ac:dyDescent="0.2">
      <c r="A38" s="194"/>
      <c r="B38" s="195" t="s">
        <v>1</v>
      </c>
      <c r="C38" s="198">
        <v>1590</v>
      </c>
      <c r="D38" s="198">
        <f t="shared" si="2"/>
        <v>22260</v>
      </c>
      <c r="E38" s="198">
        <f t="shared" si="3"/>
        <v>33390</v>
      </c>
    </row>
    <row r="39" spans="1:5" x14ac:dyDescent="0.2">
      <c r="A39" s="196">
        <v>9</v>
      </c>
      <c r="B39" s="197" t="s">
        <v>89</v>
      </c>
      <c r="C39" s="199"/>
      <c r="D39" s="198"/>
      <c r="E39" s="198"/>
    </row>
    <row r="40" spans="1:5" x14ac:dyDescent="0.2">
      <c r="A40" s="194"/>
      <c r="B40" s="195" t="s">
        <v>9</v>
      </c>
      <c r="C40" s="198">
        <v>1070</v>
      </c>
      <c r="D40" s="198">
        <f t="shared" si="2"/>
        <v>14980</v>
      </c>
      <c r="E40" s="198">
        <f t="shared" si="3"/>
        <v>22470</v>
      </c>
    </row>
    <row r="41" spans="1:5" x14ac:dyDescent="0.2">
      <c r="A41" s="194"/>
      <c r="B41" s="195" t="s">
        <v>10</v>
      </c>
      <c r="C41" s="198">
        <v>1200</v>
      </c>
      <c r="D41" s="198">
        <f t="shared" si="2"/>
        <v>16800</v>
      </c>
      <c r="E41" s="198">
        <f t="shared" si="3"/>
        <v>25200</v>
      </c>
    </row>
    <row r="42" spans="1:5" x14ac:dyDescent="0.2">
      <c r="A42" s="194"/>
      <c r="B42" s="195" t="s">
        <v>11</v>
      </c>
      <c r="C42" s="198">
        <v>1310</v>
      </c>
      <c r="D42" s="198">
        <f t="shared" si="2"/>
        <v>18340</v>
      </c>
      <c r="E42" s="198">
        <f t="shared" si="3"/>
        <v>27510</v>
      </c>
    </row>
    <row r="43" spans="1:5" x14ac:dyDescent="0.2">
      <c r="A43" s="196">
        <v>10</v>
      </c>
      <c r="B43" s="65" t="s">
        <v>112</v>
      </c>
      <c r="C43" s="198">
        <v>890</v>
      </c>
      <c r="D43" s="198">
        <f>C43*14</f>
        <v>12460</v>
      </c>
      <c r="E43" s="198">
        <f>C43*21</f>
        <v>18690</v>
      </c>
    </row>
    <row r="44" spans="1:5" x14ac:dyDescent="0.2">
      <c r="A44" s="205"/>
      <c r="B44" s="206"/>
      <c r="C44" s="207"/>
      <c r="D44" s="207"/>
      <c r="E44" s="207"/>
    </row>
    <row r="45" spans="1:5" x14ac:dyDescent="0.25">
      <c r="A45" s="28"/>
      <c r="B45" s="28"/>
      <c r="C45" s="192"/>
      <c r="D45" s="28"/>
      <c r="E45" s="28"/>
    </row>
    <row r="46" spans="1:5" x14ac:dyDescent="0.25">
      <c r="A46" s="300" t="s">
        <v>55</v>
      </c>
      <c r="B46" s="300"/>
      <c r="C46" s="299" t="s">
        <v>69</v>
      </c>
      <c r="D46" s="299"/>
      <c r="E46" s="299"/>
    </row>
    <row r="47" spans="1:5" x14ac:dyDescent="0.2">
      <c r="A47" s="298"/>
      <c r="B47" s="298"/>
      <c r="C47" s="25"/>
      <c r="D47" s="30"/>
      <c r="E47" s="30"/>
    </row>
    <row r="48" spans="1:5" x14ac:dyDescent="0.2">
      <c r="A48" s="298" t="s">
        <v>18</v>
      </c>
      <c r="B48" s="298"/>
      <c r="C48" s="299" t="s">
        <v>20</v>
      </c>
      <c r="D48" s="299"/>
      <c r="E48" s="299"/>
    </row>
    <row r="49" spans="1:5" x14ac:dyDescent="0.2">
      <c r="A49" s="298"/>
      <c r="B49" s="298"/>
      <c r="C49" s="25"/>
      <c r="D49" s="30"/>
      <c r="E49" s="30"/>
    </row>
    <row r="50" spans="1:5" x14ac:dyDescent="0.2">
      <c r="A50" s="298" t="s">
        <v>19</v>
      </c>
      <c r="B50" s="298"/>
      <c r="C50" s="25"/>
      <c r="D50" s="30"/>
      <c r="E50" s="30"/>
    </row>
    <row r="51" spans="1:5" x14ac:dyDescent="0.2">
      <c r="A51" s="298"/>
      <c r="B51" s="298"/>
      <c r="C51" s="25"/>
      <c r="D51" s="30"/>
      <c r="E51" s="30"/>
    </row>
    <row r="52" spans="1:5" x14ac:dyDescent="0.2">
      <c r="A52" s="298" t="s">
        <v>45</v>
      </c>
      <c r="B52" s="298"/>
      <c r="C52" s="299" t="s">
        <v>113</v>
      </c>
      <c r="D52" s="299"/>
      <c r="E52" s="299"/>
    </row>
  </sheetData>
  <mergeCells count="22">
    <mergeCell ref="A47:B47"/>
    <mergeCell ref="C46:E46"/>
    <mergeCell ref="A46:B46"/>
    <mergeCell ref="C48:E48"/>
    <mergeCell ref="C52:E52"/>
    <mergeCell ref="A48:B48"/>
    <mergeCell ref="A49:B49"/>
    <mergeCell ref="A50:B50"/>
    <mergeCell ref="A51:B51"/>
    <mergeCell ref="A52:B52"/>
    <mergeCell ref="C1:E1"/>
    <mergeCell ref="C2:E2"/>
    <mergeCell ref="C4:E4"/>
    <mergeCell ref="A12:E12"/>
    <mergeCell ref="C13:E13"/>
    <mergeCell ref="A13:A15"/>
    <mergeCell ref="B13:B15"/>
    <mergeCell ref="A7:E7"/>
    <mergeCell ref="A8:E8"/>
    <mergeCell ref="A9:E9"/>
    <mergeCell ref="A10:E10"/>
    <mergeCell ref="C14:E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view="pageBreakPreview" topLeftCell="A31" zoomScale="70" zoomScaleSheetLayoutView="70" workbookViewId="0">
      <selection activeCell="M48" sqref="M48"/>
    </sheetView>
  </sheetViews>
  <sheetFormatPr defaultColWidth="9.140625" defaultRowHeight="15" x14ac:dyDescent="0.25"/>
  <cols>
    <col min="1" max="1" width="4.5703125" style="39" customWidth="1"/>
    <col min="2" max="2" width="75" style="39" customWidth="1"/>
    <col min="3" max="3" width="12.140625" style="60" customWidth="1"/>
    <col min="4" max="4" width="11.42578125" style="60" customWidth="1"/>
    <col min="5" max="5" width="12.42578125" style="39" customWidth="1"/>
    <col min="6" max="6" width="11.85546875" style="39" customWidth="1"/>
    <col min="7" max="7" width="13.28515625" style="39" customWidth="1"/>
    <col min="8" max="8" width="11.7109375" style="39" customWidth="1"/>
    <col min="9" max="9" width="0" style="39" hidden="1" customWidth="1"/>
    <col min="10" max="10" width="9.85546875" style="39" hidden="1" customWidth="1"/>
    <col min="11" max="12" width="0" style="39" hidden="1" customWidth="1"/>
    <col min="13" max="13" width="10.5703125" style="39" bestFit="1" customWidth="1"/>
    <col min="14" max="14" width="9" style="39" customWidth="1"/>
    <col min="15" max="15" width="10.5703125" style="39" bestFit="1" customWidth="1"/>
    <col min="16" max="16384" width="9.140625" style="39"/>
  </cols>
  <sheetData>
    <row r="1" spans="1:10" ht="19.5" customHeight="1" x14ac:dyDescent="0.2">
      <c r="A1" s="323" t="s">
        <v>52</v>
      </c>
      <c r="B1" s="323"/>
      <c r="C1" s="320" t="s">
        <v>16</v>
      </c>
      <c r="D1" s="320"/>
      <c r="E1" s="320"/>
      <c r="F1" s="320"/>
      <c r="G1" s="320"/>
      <c r="H1" s="320"/>
      <c r="I1" s="38"/>
      <c r="J1" s="38"/>
    </row>
    <row r="2" spans="1:10" ht="29.25" customHeight="1" x14ac:dyDescent="0.25">
      <c r="A2" s="324" t="s">
        <v>29</v>
      </c>
      <c r="B2" s="324"/>
      <c r="C2" s="321" t="s">
        <v>46</v>
      </c>
      <c r="D2" s="321"/>
      <c r="E2" s="321"/>
      <c r="F2" s="321"/>
      <c r="G2" s="321"/>
      <c r="H2" s="321"/>
      <c r="I2" s="38"/>
      <c r="J2" s="38"/>
    </row>
    <row r="3" spans="1:10" x14ac:dyDescent="0.2">
      <c r="A3" s="40"/>
      <c r="B3" s="41"/>
      <c r="C3" s="38"/>
      <c r="D3" s="38"/>
      <c r="E3" s="38"/>
      <c r="F3" s="42"/>
      <c r="G3" s="43"/>
      <c r="H3" s="43"/>
      <c r="I3" s="38"/>
      <c r="J3" s="38"/>
    </row>
    <row r="4" spans="1:10" x14ac:dyDescent="0.2">
      <c r="A4" s="325" t="s">
        <v>53</v>
      </c>
      <c r="B4" s="325"/>
      <c r="C4" s="322" t="s">
        <v>59</v>
      </c>
      <c r="D4" s="322"/>
      <c r="E4" s="322"/>
      <c r="F4" s="322"/>
      <c r="G4" s="322"/>
      <c r="H4" s="322"/>
      <c r="I4" s="38"/>
      <c r="J4" s="38"/>
    </row>
    <row r="5" spans="1:10" x14ac:dyDescent="0.25">
      <c r="A5" s="44"/>
      <c r="B5" s="44"/>
      <c r="C5" s="44"/>
      <c r="D5" s="44"/>
      <c r="E5" s="44"/>
      <c r="F5" s="44"/>
      <c r="G5" s="44"/>
      <c r="H5" s="44"/>
      <c r="I5" s="38"/>
      <c r="J5" s="38"/>
    </row>
    <row r="6" spans="1:10" x14ac:dyDescent="0.25">
      <c r="A6" s="38"/>
      <c r="B6" s="38"/>
      <c r="C6" s="43"/>
      <c r="D6" s="43"/>
      <c r="E6" s="38"/>
      <c r="F6" s="38"/>
      <c r="G6" s="38"/>
      <c r="H6" s="38"/>
      <c r="I6" s="38"/>
      <c r="J6" s="38"/>
    </row>
    <row r="7" spans="1:10" x14ac:dyDescent="0.25">
      <c r="A7" s="318" t="s">
        <v>17</v>
      </c>
      <c r="B7" s="318"/>
      <c r="C7" s="318"/>
      <c r="D7" s="318"/>
      <c r="E7" s="318"/>
      <c r="F7" s="318"/>
      <c r="G7" s="318"/>
      <c r="H7" s="318"/>
      <c r="I7" s="38"/>
      <c r="J7" s="38"/>
    </row>
    <row r="8" spans="1:10" x14ac:dyDescent="0.25">
      <c r="A8" s="318" t="s">
        <v>47</v>
      </c>
      <c r="B8" s="318"/>
      <c r="C8" s="318"/>
      <c r="D8" s="318"/>
      <c r="E8" s="318"/>
      <c r="F8" s="318"/>
      <c r="G8" s="318"/>
      <c r="H8" s="318"/>
      <c r="I8" s="38"/>
      <c r="J8" s="38"/>
    </row>
    <row r="9" spans="1:10" ht="15" customHeight="1" x14ac:dyDescent="0.25">
      <c r="A9" s="319" t="s">
        <v>63</v>
      </c>
      <c r="B9" s="319"/>
      <c r="C9" s="319"/>
      <c r="D9" s="319"/>
      <c r="E9" s="319"/>
      <c r="F9" s="319"/>
      <c r="G9" s="319"/>
      <c r="H9" s="319"/>
      <c r="I9" s="38"/>
      <c r="J9" s="38"/>
    </row>
    <row r="10" spans="1:10" ht="16.5" customHeight="1" x14ac:dyDescent="0.25">
      <c r="A10" s="309"/>
      <c r="B10" s="309"/>
      <c r="C10" s="309"/>
      <c r="D10" s="309"/>
      <c r="E10" s="309"/>
      <c r="F10" s="309"/>
      <c r="G10" s="309"/>
      <c r="H10" s="45"/>
      <c r="I10" s="38"/>
      <c r="J10" s="38"/>
    </row>
    <row r="11" spans="1:10" x14ac:dyDescent="0.25">
      <c r="A11" s="317" t="s">
        <v>72</v>
      </c>
      <c r="B11" s="317"/>
      <c r="C11" s="317"/>
      <c r="D11" s="317"/>
      <c r="E11" s="317"/>
      <c r="F11" s="317"/>
      <c r="G11" s="317"/>
      <c r="H11" s="317"/>
      <c r="I11" s="38"/>
      <c r="J11" s="38"/>
    </row>
    <row r="12" spans="1:10" x14ac:dyDescent="0.25">
      <c r="A12" s="172"/>
      <c r="B12" s="172"/>
      <c r="C12" s="120"/>
      <c r="D12" s="120"/>
      <c r="E12" s="120"/>
      <c r="F12" s="120"/>
      <c r="G12" s="120"/>
      <c r="H12" s="120"/>
      <c r="I12" s="38"/>
      <c r="J12" s="38"/>
    </row>
    <row r="13" spans="1:10" ht="18.75" customHeight="1" x14ac:dyDescent="0.25">
      <c r="A13" s="314" t="s">
        <v>5</v>
      </c>
      <c r="B13" s="311" t="s">
        <v>48</v>
      </c>
      <c r="C13" s="310" t="s">
        <v>32</v>
      </c>
      <c r="D13" s="310"/>
      <c r="E13" s="310"/>
      <c r="F13" s="310"/>
      <c r="G13" s="310"/>
      <c r="H13" s="310"/>
      <c r="I13" s="38"/>
      <c r="J13" s="38"/>
    </row>
    <row r="14" spans="1:10" ht="29.25" customHeight="1" x14ac:dyDescent="0.25">
      <c r="A14" s="315"/>
      <c r="B14" s="312"/>
      <c r="C14" s="310" t="s">
        <v>109</v>
      </c>
      <c r="D14" s="310"/>
      <c r="E14" s="310" t="s">
        <v>99</v>
      </c>
      <c r="F14" s="310"/>
      <c r="G14" s="310" t="s">
        <v>110</v>
      </c>
      <c r="H14" s="310"/>
      <c r="I14" s="38"/>
      <c r="J14" s="38"/>
    </row>
    <row r="15" spans="1:10" ht="55.5" customHeight="1" x14ac:dyDescent="0.25">
      <c r="A15" s="316"/>
      <c r="B15" s="313"/>
      <c r="C15" s="46" t="s">
        <v>50</v>
      </c>
      <c r="D15" s="46" t="s">
        <v>51</v>
      </c>
      <c r="E15" s="46" t="s">
        <v>50</v>
      </c>
      <c r="F15" s="46" t="s">
        <v>51</v>
      </c>
      <c r="G15" s="46" t="s">
        <v>50</v>
      </c>
      <c r="H15" s="46" t="s">
        <v>51</v>
      </c>
      <c r="I15" s="47" t="s">
        <v>42</v>
      </c>
      <c r="J15" s="48" t="s">
        <v>43</v>
      </c>
    </row>
    <row r="16" spans="1:10" ht="16.5" customHeight="1" x14ac:dyDescent="0.25">
      <c r="A16" s="301" t="s">
        <v>114</v>
      </c>
      <c r="B16" s="302"/>
      <c r="C16" s="302"/>
      <c r="D16" s="302"/>
      <c r="E16" s="302"/>
      <c r="F16" s="302"/>
      <c r="G16" s="302"/>
      <c r="H16" s="303"/>
      <c r="I16" s="15"/>
      <c r="J16" s="15"/>
    </row>
    <row r="17" spans="1:15" x14ac:dyDescent="0.25">
      <c r="A17" s="173">
        <v>1</v>
      </c>
      <c r="B17" s="173" t="s">
        <v>3</v>
      </c>
      <c r="C17" s="174"/>
      <c r="D17" s="174"/>
      <c r="E17" s="175"/>
      <c r="F17" s="175"/>
      <c r="G17" s="175"/>
      <c r="H17" s="175"/>
      <c r="I17" s="15"/>
      <c r="J17" s="15"/>
    </row>
    <row r="18" spans="1:15" x14ac:dyDescent="0.25">
      <c r="A18" s="32"/>
      <c r="B18" s="32" t="s">
        <v>0</v>
      </c>
      <c r="C18" s="13">
        <v>390</v>
      </c>
      <c r="D18" s="13">
        <v>413</v>
      </c>
      <c r="E18" s="13">
        <v>5460</v>
      </c>
      <c r="F18" s="13">
        <v>5782</v>
      </c>
      <c r="G18" s="13">
        <v>8190</v>
      </c>
      <c r="H18" s="13">
        <v>8673</v>
      </c>
      <c r="I18" s="13">
        <v>7444.2119045745558</v>
      </c>
      <c r="J18" s="49">
        <f>(C18/I18-1)*100</f>
        <v>-94.761030381734031</v>
      </c>
      <c r="K18" s="50">
        <f>I18*1.05</f>
        <v>7816.4224998032842</v>
      </c>
      <c r="L18" s="51">
        <f>C18-K18</f>
        <v>-7426.4224998032842</v>
      </c>
      <c r="M18" s="61"/>
      <c r="N18" s="61"/>
      <c r="O18" s="61"/>
    </row>
    <row r="19" spans="1:15" x14ac:dyDescent="0.25">
      <c r="A19" s="32"/>
      <c r="B19" s="32" t="s">
        <v>1</v>
      </c>
      <c r="C19" s="13">
        <v>358</v>
      </c>
      <c r="D19" s="13">
        <v>381</v>
      </c>
      <c r="E19" s="13">
        <v>5012</v>
      </c>
      <c r="F19" s="13">
        <v>5334</v>
      </c>
      <c r="G19" s="13">
        <v>7518</v>
      </c>
      <c r="H19" s="13">
        <v>8001</v>
      </c>
      <c r="I19" s="13">
        <v>6807.5046546729136</v>
      </c>
      <c r="J19" s="49">
        <f t="shared" ref="J19:J55" si="0">(C19/I19-1)*100</f>
        <v>-94.741097977006078</v>
      </c>
      <c r="K19" s="50">
        <f t="shared" ref="K19:K55" si="1">I19*1.05</f>
        <v>7147.8798874065596</v>
      </c>
      <c r="L19" s="51">
        <f t="shared" ref="L19:L55" si="2">C19-K19</f>
        <v>-6789.8798874065596</v>
      </c>
      <c r="M19" s="61"/>
      <c r="N19" s="61"/>
      <c r="O19" s="61"/>
    </row>
    <row r="20" spans="1:15" x14ac:dyDescent="0.25">
      <c r="A20" s="32"/>
      <c r="B20" s="32" t="s">
        <v>2</v>
      </c>
      <c r="C20" s="13">
        <v>820</v>
      </c>
      <c r="D20" s="13">
        <v>843</v>
      </c>
      <c r="E20" s="13">
        <v>11480</v>
      </c>
      <c r="F20" s="13">
        <v>11802</v>
      </c>
      <c r="G20" s="13">
        <v>17220</v>
      </c>
      <c r="H20" s="13">
        <v>17703</v>
      </c>
      <c r="I20" s="13">
        <v>10421.77678529275</v>
      </c>
      <c r="J20" s="49">
        <f t="shared" si="0"/>
        <v>-92.131859884418304</v>
      </c>
      <c r="K20" s="50">
        <f t="shared" si="1"/>
        <v>10942.865624557387</v>
      </c>
      <c r="L20" s="51">
        <f t="shared" si="2"/>
        <v>-10122.865624557387</v>
      </c>
      <c r="M20" s="61"/>
      <c r="N20" s="61"/>
      <c r="O20" s="61"/>
    </row>
    <row r="21" spans="1:15" x14ac:dyDescent="0.25">
      <c r="A21" s="176">
        <v>2</v>
      </c>
      <c r="B21" s="176" t="s">
        <v>6</v>
      </c>
      <c r="C21" s="174"/>
      <c r="D21" s="174"/>
      <c r="E21" s="174"/>
      <c r="F21" s="174"/>
      <c r="G21" s="174"/>
      <c r="H21" s="174"/>
      <c r="I21" s="13"/>
      <c r="J21" s="49"/>
      <c r="K21" s="50">
        <f t="shared" si="1"/>
        <v>0</v>
      </c>
      <c r="L21" s="51">
        <f t="shared" si="2"/>
        <v>0</v>
      </c>
      <c r="M21" s="61"/>
      <c r="N21" s="61"/>
      <c r="O21" s="61"/>
    </row>
    <row r="22" spans="1:15" x14ac:dyDescent="0.25">
      <c r="A22" s="32"/>
      <c r="B22" s="32" t="s">
        <v>0</v>
      </c>
      <c r="C22" s="13">
        <v>426</v>
      </c>
      <c r="D22" s="13">
        <v>449</v>
      </c>
      <c r="E22" s="13">
        <v>5964</v>
      </c>
      <c r="F22" s="13">
        <v>6286</v>
      </c>
      <c r="G22" s="13">
        <v>8946</v>
      </c>
      <c r="H22" s="13">
        <v>9429</v>
      </c>
      <c r="I22" s="13">
        <v>8149.5399045745562</v>
      </c>
      <c r="J22" s="49">
        <f t="shared" si="0"/>
        <v>-94.772711036596377</v>
      </c>
      <c r="K22" s="50">
        <f t="shared" si="1"/>
        <v>8557.0168998032841</v>
      </c>
      <c r="L22" s="51">
        <f t="shared" si="2"/>
        <v>-8131.0168998032841</v>
      </c>
      <c r="M22" s="61"/>
      <c r="N22" s="61"/>
      <c r="O22" s="61"/>
    </row>
    <row r="23" spans="1:15" x14ac:dyDescent="0.25">
      <c r="A23" s="32"/>
      <c r="B23" s="32" t="s">
        <v>1</v>
      </c>
      <c r="C23" s="13">
        <v>394</v>
      </c>
      <c r="D23" s="13">
        <v>417</v>
      </c>
      <c r="E23" s="13">
        <v>5516</v>
      </c>
      <c r="F23" s="13">
        <v>5838</v>
      </c>
      <c r="G23" s="13">
        <v>8274</v>
      </c>
      <c r="H23" s="13">
        <v>8757</v>
      </c>
      <c r="I23" s="13">
        <v>7512.832654672914</v>
      </c>
      <c r="J23" s="49">
        <f t="shared" si="0"/>
        <v>-94.755639874995282</v>
      </c>
      <c r="K23" s="50">
        <f t="shared" si="1"/>
        <v>7888.4742874065605</v>
      </c>
      <c r="L23" s="51">
        <f t="shared" si="2"/>
        <v>-7494.4742874065605</v>
      </c>
      <c r="M23" s="61"/>
      <c r="N23" s="61"/>
      <c r="O23" s="61"/>
    </row>
    <row r="24" spans="1:15" x14ac:dyDescent="0.25">
      <c r="A24" s="32"/>
      <c r="B24" s="32" t="s">
        <v>2</v>
      </c>
      <c r="C24" s="13">
        <v>856</v>
      </c>
      <c r="D24" s="13">
        <v>879</v>
      </c>
      <c r="E24" s="13">
        <v>11984</v>
      </c>
      <c r="F24" s="13">
        <v>12306</v>
      </c>
      <c r="G24" s="13">
        <v>17976</v>
      </c>
      <c r="H24" s="13">
        <v>18459</v>
      </c>
      <c r="I24" s="13">
        <v>11127.10478529275</v>
      </c>
      <c r="J24" s="49">
        <f t="shared" si="0"/>
        <v>-92.307073434489283</v>
      </c>
      <c r="K24" s="50">
        <f t="shared" si="1"/>
        <v>11683.460024557387</v>
      </c>
      <c r="L24" s="51">
        <f t="shared" si="2"/>
        <v>-10827.460024557387</v>
      </c>
      <c r="M24" s="61"/>
      <c r="N24" s="61"/>
      <c r="O24" s="61"/>
    </row>
    <row r="25" spans="1:15" x14ac:dyDescent="0.25">
      <c r="A25" s="176">
        <v>3</v>
      </c>
      <c r="B25" s="176" t="s">
        <v>7</v>
      </c>
      <c r="C25" s="174"/>
      <c r="D25" s="174"/>
      <c r="E25" s="174"/>
      <c r="F25" s="174"/>
      <c r="G25" s="174"/>
      <c r="H25" s="174"/>
      <c r="I25" s="13"/>
      <c r="J25" s="49"/>
      <c r="K25" s="50">
        <f t="shared" si="1"/>
        <v>0</v>
      </c>
      <c r="L25" s="51">
        <f t="shared" si="2"/>
        <v>0</v>
      </c>
      <c r="M25" s="61"/>
      <c r="N25" s="61"/>
      <c r="O25" s="61"/>
    </row>
    <row r="26" spans="1:15" x14ac:dyDescent="0.25">
      <c r="A26" s="32"/>
      <c r="B26" s="32" t="s">
        <v>0</v>
      </c>
      <c r="C26" s="13">
        <v>456</v>
      </c>
      <c r="D26" s="13">
        <v>479</v>
      </c>
      <c r="E26" s="13">
        <v>6384</v>
      </c>
      <c r="F26" s="13">
        <v>6706</v>
      </c>
      <c r="G26" s="13">
        <v>9576</v>
      </c>
      <c r="H26" s="13">
        <v>10059</v>
      </c>
      <c r="I26" s="13">
        <v>8642.2919045745566</v>
      </c>
      <c r="J26" s="49">
        <f t="shared" si="0"/>
        <v>-94.723621869811765</v>
      </c>
      <c r="K26" s="50">
        <f t="shared" si="1"/>
        <v>9074.4064998032845</v>
      </c>
      <c r="L26" s="51">
        <f t="shared" si="2"/>
        <v>-8618.4064998032845</v>
      </c>
      <c r="M26" s="61"/>
      <c r="N26" s="61"/>
      <c r="O26" s="61"/>
    </row>
    <row r="27" spans="1:15" x14ac:dyDescent="0.25">
      <c r="A27" s="53"/>
      <c r="B27" s="32" t="s">
        <v>1</v>
      </c>
      <c r="C27" s="13">
        <v>424</v>
      </c>
      <c r="D27" s="13">
        <v>447</v>
      </c>
      <c r="E27" s="13">
        <v>5936</v>
      </c>
      <c r="F27" s="13">
        <v>6258</v>
      </c>
      <c r="G27" s="13">
        <v>8904</v>
      </c>
      <c r="H27" s="13">
        <v>9387</v>
      </c>
      <c r="I27" s="13">
        <v>8005.5846546729144</v>
      </c>
      <c r="J27" s="49">
        <f t="shared" si="0"/>
        <v>-94.703697252735836</v>
      </c>
      <c r="K27" s="50">
        <f t="shared" si="1"/>
        <v>8405.86388740656</v>
      </c>
      <c r="L27" s="51">
        <f t="shared" si="2"/>
        <v>-7981.86388740656</v>
      </c>
      <c r="M27" s="61"/>
      <c r="N27" s="61"/>
      <c r="O27" s="61"/>
    </row>
    <row r="28" spans="1:15" x14ac:dyDescent="0.25">
      <c r="A28" s="32"/>
      <c r="B28" s="32" t="s">
        <v>2</v>
      </c>
      <c r="C28" s="13">
        <v>886</v>
      </c>
      <c r="D28" s="13">
        <v>909</v>
      </c>
      <c r="E28" s="13">
        <v>12404</v>
      </c>
      <c r="F28" s="13">
        <v>12726</v>
      </c>
      <c r="G28" s="13">
        <v>18606</v>
      </c>
      <c r="H28" s="13">
        <v>19089</v>
      </c>
      <c r="I28" s="13">
        <v>11619.85678529275</v>
      </c>
      <c r="J28" s="49">
        <f t="shared" si="0"/>
        <v>-92.375121170844281</v>
      </c>
      <c r="K28" s="50">
        <f t="shared" si="1"/>
        <v>12200.849624557388</v>
      </c>
      <c r="L28" s="51">
        <f t="shared" si="2"/>
        <v>-11314.849624557388</v>
      </c>
      <c r="M28" s="61"/>
      <c r="N28" s="61"/>
      <c r="O28" s="61"/>
    </row>
    <row r="29" spans="1:15" x14ac:dyDescent="0.25">
      <c r="A29" s="176">
        <v>4</v>
      </c>
      <c r="B29" s="176" t="s">
        <v>8</v>
      </c>
      <c r="C29" s="174"/>
      <c r="D29" s="174"/>
      <c r="E29" s="174"/>
      <c r="F29" s="174"/>
      <c r="G29" s="174"/>
      <c r="H29" s="174"/>
      <c r="I29" s="13"/>
      <c r="J29" s="49"/>
      <c r="K29" s="50">
        <f t="shared" si="1"/>
        <v>0</v>
      </c>
      <c r="L29" s="51">
        <f t="shared" si="2"/>
        <v>0</v>
      </c>
      <c r="M29" s="61"/>
      <c r="N29" s="61"/>
      <c r="O29" s="61"/>
    </row>
    <row r="30" spans="1:15" x14ac:dyDescent="0.25">
      <c r="A30" s="37"/>
      <c r="B30" s="32" t="s">
        <v>9</v>
      </c>
      <c r="C30" s="13">
        <v>284</v>
      </c>
      <c r="D30" s="13">
        <v>307</v>
      </c>
      <c r="E30" s="13">
        <v>3976</v>
      </c>
      <c r="F30" s="13">
        <v>4298</v>
      </c>
      <c r="G30" s="13">
        <v>5964</v>
      </c>
      <c r="H30" s="13">
        <v>6447</v>
      </c>
      <c r="I30" s="13">
        <v>5300.5299446904301</v>
      </c>
      <c r="J30" s="49">
        <f t="shared" si="0"/>
        <v>-94.642045173530548</v>
      </c>
      <c r="K30" s="50">
        <f t="shared" si="1"/>
        <v>5565.5564419249522</v>
      </c>
      <c r="L30" s="51">
        <f t="shared" si="2"/>
        <v>-5281.5564419249522</v>
      </c>
      <c r="M30" s="61"/>
      <c r="N30" s="61"/>
      <c r="O30" s="61"/>
    </row>
    <row r="31" spans="1:15" x14ac:dyDescent="0.25">
      <c r="A31" s="37"/>
      <c r="B31" s="32" t="s">
        <v>10</v>
      </c>
      <c r="C31" s="13">
        <v>322</v>
      </c>
      <c r="D31" s="13">
        <v>345</v>
      </c>
      <c r="E31" s="13">
        <v>4508</v>
      </c>
      <c r="F31" s="13">
        <v>4830</v>
      </c>
      <c r="G31" s="13">
        <v>6762</v>
      </c>
      <c r="H31" s="13">
        <v>7245</v>
      </c>
      <c r="I31" s="13">
        <v>6005.8579446904305</v>
      </c>
      <c r="J31" s="49">
        <f t="shared" si="0"/>
        <v>-94.638567828853354</v>
      </c>
      <c r="K31" s="50">
        <f t="shared" si="1"/>
        <v>6306.1508419249521</v>
      </c>
      <c r="L31" s="51">
        <f t="shared" si="2"/>
        <v>-5984.1508419249521</v>
      </c>
      <c r="M31" s="61"/>
      <c r="N31" s="61"/>
      <c r="O31" s="61"/>
    </row>
    <row r="32" spans="1:15" x14ac:dyDescent="0.25">
      <c r="A32" s="37"/>
      <c r="B32" s="32" t="s">
        <v>11</v>
      </c>
      <c r="C32" s="13">
        <v>350</v>
      </c>
      <c r="D32" s="13">
        <v>373</v>
      </c>
      <c r="E32" s="13">
        <v>4900</v>
      </c>
      <c r="F32" s="13">
        <v>5222</v>
      </c>
      <c r="G32" s="13">
        <v>7350</v>
      </c>
      <c r="H32" s="13">
        <v>7833</v>
      </c>
      <c r="I32" s="13"/>
      <c r="J32" s="49"/>
      <c r="K32" s="50"/>
      <c r="L32" s="51"/>
      <c r="M32" s="61"/>
      <c r="N32" s="61"/>
      <c r="O32" s="61"/>
    </row>
    <row r="33" spans="1:15" x14ac:dyDescent="0.25">
      <c r="A33" s="176">
        <v>5</v>
      </c>
      <c r="B33" s="177" t="s">
        <v>35</v>
      </c>
      <c r="C33" s="174">
        <v>238</v>
      </c>
      <c r="D33" s="174">
        <v>261</v>
      </c>
      <c r="E33" s="174">
        <v>3332</v>
      </c>
      <c r="F33" s="174">
        <v>3654</v>
      </c>
      <c r="G33" s="174">
        <v>4998</v>
      </c>
      <c r="H33" s="174">
        <v>5481</v>
      </c>
      <c r="I33" s="13">
        <v>3601.3445550144165</v>
      </c>
      <c r="J33" s="49">
        <f t="shared" si="0"/>
        <v>-93.391357134417618</v>
      </c>
      <c r="K33" s="50">
        <f t="shared" si="1"/>
        <v>3781.4117827651376</v>
      </c>
      <c r="L33" s="51">
        <f t="shared" si="2"/>
        <v>-3543.4117827651376</v>
      </c>
      <c r="M33" s="61"/>
      <c r="N33" s="61"/>
      <c r="O33" s="61"/>
    </row>
    <row r="34" spans="1:15" x14ac:dyDescent="0.2">
      <c r="A34" s="176">
        <v>6</v>
      </c>
      <c r="B34" s="202" t="s">
        <v>12</v>
      </c>
      <c r="C34" s="174"/>
      <c r="D34" s="174"/>
      <c r="E34" s="174"/>
      <c r="F34" s="174"/>
      <c r="G34" s="174"/>
      <c r="H34" s="174"/>
      <c r="I34" s="13"/>
      <c r="J34" s="49"/>
      <c r="K34" s="50"/>
      <c r="L34" s="51"/>
      <c r="M34" s="61"/>
      <c r="N34" s="61"/>
      <c r="O34" s="61"/>
    </row>
    <row r="35" spans="1:15" x14ac:dyDescent="0.2">
      <c r="A35" s="37"/>
      <c r="B35" s="195" t="s">
        <v>1</v>
      </c>
      <c r="C35" s="13">
        <v>268</v>
      </c>
      <c r="D35" s="13">
        <v>291</v>
      </c>
      <c r="E35" s="13">
        <v>3752</v>
      </c>
      <c r="F35" s="13">
        <v>4074</v>
      </c>
      <c r="G35" s="13">
        <v>5628</v>
      </c>
      <c r="H35" s="13">
        <v>6111</v>
      </c>
      <c r="I35" s="13"/>
      <c r="J35" s="49"/>
      <c r="K35" s="50"/>
      <c r="L35" s="51"/>
      <c r="M35" s="61"/>
      <c r="N35" s="61"/>
      <c r="O35" s="61"/>
    </row>
    <row r="36" spans="1:15" x14ac:dyDescent="0.2">
      <c r="A36" s="176">
        <v>7</v>
      </c>
      <c r="B36" s="202" t="s">
        <v>13</v>
      </c>
      <c r="C36" s="174"/>
      <c r="D36" s="174"/>
      <c r="E36" s="174"/>
      <c r="F36" s="174"/>
      <c r="G36" s="174"/>
      <c r="H36" s="174"/>
      <c r="I36" s="13"/>
      <c r="J36" s="49"/>
      <c r="K36" s="50"/>
      <c r="L36" s="51"/>
      <c r="M36" s="61"/>
      <c r="N36" s="61"/>
      <c r="O36" s="61"/>
    </row>
    <row r="37" spans="1:15" x14ac:dyDescent="0.2">
      <c r="A37" s="37"/>
      <c r="B37" s="195" t="s">
        <v>1</v>
      </c>
      <c r="C37" s="13">
        <v>296</v>
      </c>
      <c r="D37" s="13">
        <v>319</v>
      </c>
      <c r="E37" s="13">
        <v>4144</v>
      </c>
      <c r="F37" s="13">
        <v>4466</v>
      </c>
      <c r="G37" s="13">
        <v>6216</v>
      </c>
      <c r="H37" s="13">
        <v>6699</v>
      </c>
      <c r="I37" s="13"/>
      <c r="J37" s="49"/>
      <c r="K37" s="50"/>
      <c r="L37" s="51"/>
      <c r="M37" s="61"/>
      <c r="N37" s="61"/>
      <c r="O37" s="61"/>
    </row>
    <row r="38" spans="1:15" x14ac:dyDescent="0.2">
      <c r="A38" s="176">
        <v>8</v>
      </c>
      <c r="B38" s="202" t="s">
        <v>14</v>
      </c>
      <c r="C38" s="174"/>
      <c r="D38" s="174"/>
      <c r="E38" s="174"/>
      <c r="F38" s="174"/>
      <c r="G38" s="174"/>
      <c r="H38" s="174"/>
      <c r="I38" s="13"/>
      <c r="J38" s="49"/>
      <c r="K38" s="50"/>
      <c r="L38" s="51"/>
      <c r="M38" s="61"/>
      <c r="N38" s="61"/>
      <c r="O38" s="61"/>
    </row>
    <row r="39" spans="1:15" x14ac:dyDescent="0.2">
      <c r="A39" s="37"/>
      <c r="B39" s="195" t="s">
        <v>1</v>
      </c>
      <c r="C39" s="13">
        <v>318</v>
      </c>
      <c r="D39" s="13">
        <v>341</v>
      </c>
      <c r="E39" s="13">
        <v>4452</v>
      </c>
      <c r="F39" s="13">
        <v>4774</v>
      </c>
      <c r="G39" s="13">
        <v>6678</v>
      </c>
      <c r="H39" s="13">
        <v>7161</v>
      </c>
      <c r="I39" s="13"/>
      <c r="J39" s="49"/>
      <c r="K39" s="50"/>
      <c r="L39" s="51"/>
      <c r="M39" s="61"/>
      <c r="N39" s="61"/>
      <c r="O39" s="61"/>
    </row>
    <row r="40" spans="1:15" x14ac:dyDescent="0.2">
      <c r="A40" s="176">
        <v>9</v>
      </c>
      <c r="B40" s="202" t="s">
        <v>89</v>
      </c>
      <c r="C40" s="174"/>
      <c r="D40" s="174"/>
      <c r="E40" s="174"/>
      <c r="F40" s="174"/>
      <c r="G40" s="174"/>
      <c r="H40" s="174"/>
      <c r="I40" s="13"/>
      <c r="J40" s="49"/>
      <c r="K40" s="50"/>
      <c r="L40" s="51"/>
      <c r="M40" s="61"/>
      <c r="N40" s="61"/>
      <c r="O40" s="61"/>
    </row>
    <row r="41" spans="1:15" x14ac:dyDescent="0.2">
      <c r="A41" s="37"/>
      <c r="B41" s="195" t="s">
        <v>9</v>
      </c>
      <c r="C41" s="13">
        <v>214</v>
      </c>
      <c r="D41" s="13">
        <v>237</v>
      </c>
      <c r="E41" s="13">
        <v>2996</v>
      </c>
      <c r="F41" s="13">
        <v>3318</v>
      </c>
      <c r="G41" s="13">
        <v>4494</v>
      </c>
      <c r="H41" s="13">
        <v>4977</v>
      </c>
      <c r="I41" s="13"/>
      <c r="J41" s="49"/>
      <c r="K41" s="50"/>
      <c r="L41" s="51"/>
      <c r="M41" s="61"/>
      <c r="N41" s="61"/>
      <c r="O41" s="61"/>
    </row>
    <row r="42" spans="1:15" x14ac:dyDescent="0.2">
      <c r="A42" s="37"/>
      <c r="B42" s="195" t="s">
        <v>10</v>
      </c>
      <c r="C42" s="13">
        <v>240</v>
      </c>
      <c r="D42" s="13">
        <v>263</v>
      </c>
      <c r="E42" s="13">
        <v>3360</v>
      </c>
      <c r="F42" s="13">
        <v>3682</v>
      </c>
      <c r="G42" s="13">
        <v>5040</v>
      </c>
      <c r="H42" s="13">
        <v>5523</v>
      </c>
      <c r="I42" s="13"/>
      <c r="J42" s="49"/>
      <c r="K42" s="50"/>
      <c r="L42" s="51"/>
      <c r="M42" s="61"/>
      <c r="N42" s="61"/>
      <c r="O42" s="61"/>
    </row>
    <row r="43" spans="1:15" x14ac:dyDescent="0.2">
      <c r="A43" s="37"/>
      <c r="B43" s="195" t="s">
        <v>11</v>
      </c>
      <c r="C43" s="13">
        <v>262</v>
      </c>
      <c r="D43" s="13">
        <v>285</v>
      </c>
      <c r="E43" s="13">
        <v>3668</v>
      </c>
      <c r="F43" s="13">
        <v>3990</v>
      </c>
      <c r="G43" s="13">
        <v>5502</v>
      </c>
      <c r="H43" s="13">
        <v>5985</v>
      </c>
      <c r="I43" s="13"/>
      <c r="J43" s="49"/>
      <c r="K43" s="50"/>
      <c r="L43" s="51"/>
      <c r="M43" s="61"/>
      <c r="N43" s="61"/>
      <c r="O43" s="61"/>
    </row>
    <row r="44" spans="1:15" x14ac:dyDescent="0.2">
      <c r="A44" s="176">
        <v>10</v>
      </c>
      <c r="B44" s="202" t="s">
        <v>112</v>
      </c>
      <c r="C44" s="174">
        <v>178</v>
      </c>
      <c r="D44" s="174">
        <v>201</v>
      </c>
      <c r="E44" s="174">
        <v>2492</v>
      </c>
      <c r="F44" s="174">
        <v>2814</v>
      </c>
      <c r="G44" s="174">
        <v>3738</v>
      </c>
      <c r="H44" s="174">
        <v>4221</v>
      </c>
      <c r="I44" s="13"/>
      <c r="J44" s="49"/>
      <c r="K44" s="50"/>
      <c r="L44" s="51"/>
      <c r="M44" s="61"/>
      <c r="N44" s="61"/>
      <c r="O44" s="61"/>
    </row>
    <row r="45" spans="1:15" ht="15" customHeight="1" x14ac:dyDescent="0.25">
      <c r="A45" s="304" t="s">
        <v>44</v>
      </c>
      <c r="B45" s="305"/>
      <c r="C45" s="305"/>
      <c r="D45" s="305"/>
      <c r="E45" s="305"/>
      <c r="F45" s="305"/>
      <c r="G45" s="305"/>
      <c r="H45" s="306"/>
      <c r="I45" s="15"/>
      <c r="J45" s="49"/>
      <c r="K45" s="39">
        <f t="shared" si="1"/>
        <v>0</v>
      </c>
      <c r="L45" s="52">
        <f t="shared" si="2"/>
        <v>0</v>
      </c>
      <c r="M45" s="61"/>
      <c r="N45" s="61"/>
      <c r="O45" s="61"/>
    </row>
    <row r="46" spans="1:15" x14ac:dyDescent="0.25">
      <c r="A46" s="176">
        <v>1</v>
      </c>
      <c r="B46" s="176" t="s">
        <v>6</v>
      </c>
      <c r="C46" s="174"/>
      <c r="D46" s="174"/>
      <c r="E46" s="178"/>
      <c r="F46" s="178"/>
      <c r="G46" s="178"/>
      <c r="H46" s="174"/>
      <c r="I46" s="15"/>
      <c r="J46" s="49"/>
      <c r="K46" s="39">
        <f t="shared" si="1"/>
        <v>0</v>
      </c>
      <c r="L46" s="52">
        <f t="shared" si="2"/>
        <v>0</v>
      </c>
      <c r="M46" s="61"/>
      <c r="N46" s="61"/>
      <c r="O46" s="61"/>
    </row>
    <row r="47" spans="1:15" x14ac:dyDescent="0.25">
      <c r="A47" s="32"/>
      <c r="B47" s="32" t="s">
        <v>0</v>
      </c>
      <c r="C47" s="13">
        <v>213</v>
      </c>
      <c r="D47" s="13">
        <v>236</v>
      </c>
      <c r="E47" s="13">
        <v>2982</v>
      </c>
      <c r="F47" s="13">
        <v>3304</v>
      </c>
      <c r="G47" s="13">
        <v>4473</v>
      </c>
      <c r="H47" s="13">
        <v>4956</v>
      </c>
      <c r="I47" s="54">
        <v>4074.7699522872781</v>
      </c>
      <c r="J47" s="49">
        <f t="shared" si="0"/>
        <v>-94.772711036596377</v>
      </c>
      <c r="K47" s="39">
        <f t="shared" si="1"/>
        <v>4278.5084499016421</v>
      </c>
      <c r="L47" s="52">
        <f t="shared" si="2"/>
        <v>-4065.5084499016421</v>
      </c>
      <c r="M47" s="61">
        <f>D47-C47</f>
        <v>23</v>
      </c>
      <c r="N47" s="61"/>
      <c r="O47" s="61"/>
    </row>
    <row r="48" spans="1:15" x14ac:dyDescent="0.25">
      <c r="A48" s="32"/>
      <c r="B48" s="32" t="s">
        <v>1</v>
      </c>
      <c r="C48" s="13">
        <v>197</v>
      </c>
      <c r="D48" s="13">
        <v>220</v>
      </c>
      <c r="E48" s="13">
        <v>2758</v>
      </c>
      <c r="F48" s="13">
        <v>3080</v>
      </c>
      <c r="G48" s="13">
        <v>4137</v>
      </c>
      <c r="H48" s="13">
        <v>4620</v>
      </c>
      <c r="I48" s="54">
        <v>3756.416327336457</v>
      </c>
      <c r="J48" s="49">
        <f t="shared" si="0"/>
        <v>-94.755639874995282</v>
      </c>
      <c r="K48" s="39">
        <f t="shared" si="1"/>
        <v>3944.2371437032803</v>
      </c>
      <c r="L48" s="52">
        <f t="shared" si="2"/>
        <v>-3747.2371437032803</v>
      </c>
      <c r="M48" s="61"/>
      <c r="N48" s="61"/>
      <c r="O48" s="61"/>
    </row>
    <row r="49" spans="1:15" x14ac:dyDescent="0.25">
      <c r="A49" s="176">
        <v>2</v>
      </c>
      <c r="B49" s="176" t="s">
        <v>7</v>
      </c>
      <c r="C49" s="174"/>
      <c r="D49" s="174"/>
      <c r="E49" s="174"/>
      <c r="F49" s="174"/>
      <c r="G49" s="174"/>
      <c r="H49" s="174"/>
      <c r="I49" s="32"/>
      <c r="J49" s="49"/>
      <c r="K49" s="39">
        <f t="shared" si="1"/>
        <v>0</v>
      </c>
      <c r="L49" s="52">
        <f t="shared" si="2"/>
        <v>0</v>
      </c>
      <c r="M49" s="61"/>
      <c r="N49" s="61"/>
      <c r="O49" s="61"/>
    </row>
    <row r="50" spans="1:15" x14ac:dyDescent="0.25">
      <c r="A50" s="32"/>
      <c r="B50" s="32" t="s">
        <v>0</v>
      </c>
      <c r="C50" s="13">
        <v>228</v>
      </c>
      <c r="D50" s="13">
        <v>251</v>
      </c>
      <c r="E50" s="13">
        <v>3192</v>
      </c>
      <c r="F50" s="13">
        <v>3514</v>
      </c>
      <c r="G50" s="13">
        <v>4788</v>
      </c>
      <c r="H50" s="13">
        <v>5271</v>
      </c>
      <c r="I50" s="32">
        <v>4321.1459522872783</v>
      </c>
      <c r="J50" s="49">
        <f t="shared" si="0"/>
        <v>-94.723621869811765</v>
      </c>
      <c r="K50" s="39">
        <f t="shared" si="1"/>
        <v>4537.2032499016423</v>
      </c>
      <c r="L50" s="52">
        <f t="shared" si="2"/>
        <v>-4309.2032499016423</v>
      </c>
      <c r="M50" s="61"/>
      <c r="N50" s="61"/>
      <c r="O50" s="61"/>
    </row>
    <row r="51" spans="1:15" x14ac:dyDescent="0.25">
      <c r="A51" s="32"/>
      <c r="B51" s="32" t="s">
        <v>1</v>
      </c>
      <c r="C51" s="13">
        <v>212</v>
      </c>
      <c r="D51" s="13">
        <v>235</v>
      </c>
      <c r="E51" s="13">
        <v>2968</v>
      </c>
      <c r="F51" s="13">
        <v>3290</v>
      </c>
      <c r="G51" s="13">
        <v>4452</v>
      </c>
      <c r="H51" s="13">
        <v>4935</v>
      </c>
      <c r="I51" s="32">
        <v>4002.7923273364572</v>
      </c>
      <c r="J51" s="49">
        <f t="shared" si="0"/>
        <v>-94.703697252735836</v>
      </c>
      <c r="K51" s="39">
        <f t="shared" si="1"/>
        <v>4202.93194370328</v>
      </c>
      <c r="L51" s="52">
        <f t="shared" si="2"/>
        <v>-3990.93194370328</v>
      </c>
      <c r="M51" s="61"/>
      <c r="N51" s="61"/>
      <c r="O51" s="61"/>
    </row>
    <row r="52" spans="1:15" x14ac:dyDescent="0.25">
      <c r="A52" s="176">
        <v>3</v>
      </c>
      <c r="B52" s="176" t="s">
        <v>8</v>
      </c>
      <c r="C52" s="174"/>
      <c r="D52" s="174"/>
      <c r="E52" s="174"/>
      <c r="F52" s="174"/>
      <c r="G52" s="174"/>
      <c r="H52" s="174"/>
      <c r="I52" s="32"/>
      <c r="J52" s="49"/>
      <c r="K52" s="39">
        <f t="shared" si="1"/>
        <v>0</v>
      </c>
      <c r="L52" s="52">
        <f t="shared" si="2"/>
        <v>0</v>
      </c>
      <c r="M52" s="61"/>
      <c r="N52" s="61"/>
      <c r="O52" s="61"/>
    </row>
    <row r="53" spans="1:15" x14ac:dyDescent="0.25">
      <c r="A53" s="37"/>
      <c r="B53" s="32" t="s">
        <v>9</v>
      </c>
      <c r="C53" s="13">
        <v>142</v>
      </c>
      <c r="D53" s="13">
        <v>165</v>
      </c>
      <c r="E53" s="13">
        <v>1988</v>
      </c>
      <c r="F53" s="13">
        <v>2310</v>
      </c>
      <c r="G53" s="13">
        <v>2982</v>
      </c>
      <c r="H53" s="13">
        <v>3465</v>
      </c>
      <c r="I53" s="32">
        <v>2650.264972345215</v>
      </c>
      <c r="J53" s="49">
        <f t="shared" si="0"/>
        <v>-94.642045173530548</v>
      </c>
      <c r="K53" s="39">
        <f t="shared" si="1"/>
        <v>2782.7782209624761</v>
      </c>
      <c r="L53" s="52">
        <f t="shared" si="2"/>
        <v>-2640.7782209624761</v>
      </c>
      <c r="M53" s="61"/>
      <c r="N53" s="61"/>
      <c r="O53" s="61"/>
    </row>
    <row r="54" spans="1:15" x14ac:dyDescent="0.25">
      <c r="A54" s="37"/>
      <c r="B54" s="32" t="s">
        <v>10</v>
      </c>
      <c r="C54" s="13">
        <v>161</v>
      </c>
      <c r="D54" s="13">
        <v>184</v>
      </c>
      <c r="E54" s="13">
        <v>2254</v>
      </c>
      <c r="F54" s="13">
        <v>2576</v>
      </c>
      <c r="G54" s="13">
        <v>3381</v>
      </c>
      <c r="H54" s="13">
        <v>3864</v>
      </c>
      <c r="I54" s="32">
        <v>3002.9289723452152</v>
      </c>
      <c r="J54" s="49">
        <f t="shared" si="0"/>
        <v>-94.638567828853354</v>
      </c>
      <c r="K54" s="39">
        <f t="shared" si="1"/>
        <v>3153.0754209624761</v>
      </c>
      <c r="L54" s="52">
        <f t="shared" si="2"/>
        <v>-2992.0754209624761</v>
      </c>
      <c r="M54" s="61"/>
      <c r="N54" s="61"/>
      <c r="O54" s="61"/>
    </row>
    <row r="55" spans="1:15" x14ac:dyDescent="0.25">
      <c r="A55" s="37"/>
      <c r="B55" s="32" t="s">
        <v>11</v>
      </c>
      <c r="C55" s="13">
        <v>175</v>
      </c>
      <c r="D55" s="13">
        <v>198</v>
      </c>
      <c r="E55" s="13">
        <v>2450</v>
      </c>
      <c r="F55" s="13">
        <v>2772</v>
      </c>
      <c r="G55" s="13">
        <v>3675</v>
      </c>
      <c r="H55" s="13">
        <v>4158</v>
      </c>
      <c r="I55" s="32">
        <v>3153.35056792045</v>
      </c>
      <c r="J55" s="49">
        <f t="shared" si="0"/>
        <v>-94.450347456438763</v>
      </c>
      <c r="K55" s="39">
        <f t="shared" si="1"/>
        <v>3311.0180963164726</v>
      </c>
      <c r="L55" s="52">
        <f t="shared" si="2"/>
        <v>-3136.0180963164726</v>
      </c>
      <c r="M55" s="61"/>
      <c r="N55" s="61"/>
      <c r="O55" s="61"/>
    </row>
    <row r="56" spans="1:15" x14ac:dyDescent="0.2">
      <c r="A56" s="176">
        <v>4</v>
      </c>
      <c r="B56" s="202" t="s">
        <v>12</v>
      </c>
      <c r="C56" s="174"/>
      <c r="D56" s="174"/>
      <c r="E56" s="174"/>
      <c r="F56" s="174"/>
      <c r="G56" s="174"/>
      <c r="H56" s="174"/>
      <c r="I56" s="203"/>
      <c r="J56" s="204"/>
      <c r="L56" s="52"/>
      <c r="M56" s="61"/>
      <c r="N56" s="61"/>
      <c r="O56" s="61"/>
    </row>
    <row r="57" spans="1:15" x14ac:dyDescent="0.2">
      <c r="A57" s="37"/>
      <c r="B57" s="195" t="s">
        <v>1</v>
      </c>
      <c r="C57" s="13">
        <v>134</v>
      </c>
      <c r="D57" s="13">
        <v>157</v>
      </c>
      <c r="E57" s="13">
        <v>1876</v>
      </c>
      <c r="F57" s="13">
        <v>2198</v>
      </c>
      <c r="G57" s="13">
        <v>2814</v>
      </c>
      <c r="H57" s="13">
        <v>3297</v>
      </c>
      <c r="I57" s="203"/>
      <c r="J57" s="204"/>
      <c r="L57" s="52"/>
      <c r="M57" s="61"/>
      <c r="N57" s="61"/>
      <c r="O57" s="61"/>
    </row>
    <row r="58" spans="1:15" x14ac:dyDescent="0.2">
      <c r="A58" s="176">
        <v>5</v>
      </c>
      <c r="B58" s="202" t="s">
        <v>13</v>
      </c>
      <c r="C58" s="174"/>
      <c r="D58" s="174"/>
      <c r="E58" s="174"/>
      <c r="F58" s="174"/>
      <c r="G58" s="174"/>
      <c r="H58" s="174"/>
      <c r="I58" s="203"/>
      <c r="J58" s="204"/>
      <c r="L58" s="52"/>
      <c r="M58" s="61"/>
      <c r="N58" s="61"/>
      <c r="O58" s="61"/>
    </row>
    <row r="59" spans="1:15" x14ac:dyDescent="0.2">
      <c r="A59" s="37"/>
      <c r="B59" s="195" t="s">
        <v>1</v>
      </c>
      <c r="C59" s="13">
        <v>148</v>
      </c>
      <c r="D59" s="13">
        <v>171</v>
      </c>
      <c r="E59" s="13">
        <v>2072</v>
      </c>
      <c r="F59" s="13">
        <v>2394</v>
      </c>
      <c r="G59" s="13">
        <v>3108</v>
      </c>
      <c r="H59" s="13">
        <v>3591</v>
      </c>
      <c r="I59" s="203"/>
      <c r="J59" s="204"/>
      <c r="L59" s="52"/>
      <c r="M59" s="61"/>
      <c r="N59" s="61"/>
      <c r="O59" s="61"/>
    </row>
    <row r="60" spans="1:15" x14ac:dyDescent="0.2">
      <c r="A60" s="176">
        <v>6</v>
      </c>
      <c r="B60" s="202" t="s">
        <v>14</v>
      </c>
      <c r="C60" s="174"/>
      <c r="D60" s="174"/>
      <c r="E60" s="174"/>
      <c r="F60" s="174"/>
      <c r="G60" s="174"/>
      <c r="H60" s="174"/>
      <c r="I60" s="203"/>
      <c r="J60" s="204"/>
      <c r="L60" s="52"/>
      <c r="M60" s="61"/>
      <c r="N60" s="61"/>
      <c r="O60" s="61"/>
    </row>
    <row r="61" spans="1:15" x14ac:dyDescent="0.2">
      <c r="A61" s="37"/>
      <c r="B61" s="195" t="s">
        <v>1</v>
      </c>
      <c r="C61" s="13">
        <v>159</v>
      </c>
      <c r="D61" s="13">
        <v>182</v>
      </c>
      <c r="E61" s="13">
        <v>2226</v>
      </c>
      <c r="F61" s="13">
        <v>2548</v>
      </c>
      <c r="G61" s="13">
        <v>3339</v>
      </c>
      <c r="H61" s="13">
        <v>3822</v>
      </c>
      <c r="I61" s="203"/>
      <c r="J61" s="204"/>
      <c r="L61" s="52"/>
      <c r="M61" s="61"/>
      <c r="N61" s="61"/>
      <c r="O61" s="61"/>
    </row>
    <row r="62" spans="1:15" x14ac:dyDescent="0.2">
      <c r="A62" s="176">
        <v>7</v>
      </c>
      <c r="B62" s="202" t="s">
        <v>89</v>
      </c>
      <c r="C62" s="174"/>
      <c r="D62" s="174"/>
      <c r="E62" s="174"/>
      <c r="F62" s="174"/>
      <c r="G62" s="174"/>
      <c r="H62" s="174"/>
      <c r="I62" s="203"/>
      <c r="J62" s="204"/>
      <c r="L62" s="52"/>
      <c r="M62" s="61"/>
      <c r="N62" s="61"/>
      <c r="O62" s="61"/>
    </row>
    <row r="63" spans="1:15" x14ac:dyDescent="0.2">
      <c r="A63" s="37"/>
      <c r="B63" s="195" t="s">
        <v>9</v>
      </c>
      <c r="C63" s="13">
        <v>107</v>
      </c>
      <c r="D63" s="13">
        <v>130</v>
      </c>
      <c r="E63" s="13">
        <v>1498</v>
      </c>
      <c r="F63" s="13">
        <v>1820</v>
      </c>
      <c r="G63" s="13">
        <v>2247</v>
      </c>
      <c r="H63" s="13">
        <v>2730</v>
      </c>
      <c r="I63" s="38"/>
      <c r="J63" s="38"/>
    </row>
    <row r="64" spans="1:15" ht="18" customHeight="1" x14ac:dyDescent="0.2">
      <c r="A64" s="37"/>
      <c r="B64" s="195" t="s">
        <v>10</v>
      </c>
      <c r="C64" s="13">
        <v>120</v>
      </c>
      <c r="D64" s="13">
        <v>143</v>
      </c>
      <c r="E64" s="13">
        <v>1680</v>
      </c>
      <c r="F64" s="13">
        <v>2002</v>
      </c>
      <c r="G64" s="13">
        <v>2520</v>
      </c>
      <c r="H64" s="13">
        <v>3003</v>
      </c>
      <c r="I64" s="38"/>
      <c r="J64" s="38"/>
    </row>
    <row r="65" spans="1:10" ht="15" customHeight="1" x14ac:dyDescent="0.2">
      <c r="A65" s="37"/>
      <c r="B65" s="195" t="s">
        <v>11</v>
      </c>
      <c r="C65" s="13">
        <v>131</v>
      </c>
      <c r="D65" s="13">
        <v>154</v>
      </c>
      <c r="E65" s="13">
        <v>1834</v>
      </c>
      <c r="F65" s="13">
        <v>2156</v>
      </c>
      <c r="G65" s="13">
        <v>2751</v>
      </c>
      <c r="H65" s="13">
        <v>3234</v>
      </c>
      <c r="I65" s="38"/>
      <c r="J65" s="38"/>
    </row>
    <row r="66" spans="1:10" ht="15" customHeight="1" x14ac:dyDescent="0.2">
      <c r="A66" s="176">
        <v>8</v>
      </c>
      <c r="B66" s="208" t="s">
        <v>115</v>
      </c>
      <c r="C66" s="174">
        <v>89</v>
      </c>
      <c r="D66" s="174">
        <v>112</v>
      </c>
      <c r="E66" s="174">
        <v>1246</v>
      </c>
      <c r="F66" s="174">
        <v>1568</v>
      </c>
      <c r="G66" s="174">
        <v>1869</v>
      </c>
      <c r="H66" s="174">
        <v>2352</v>
      </c>
      <c r="I66" s="38"/>
      <c r="J66" s="38"/>
    </row>
    <row r="67" spans="1:10" x14ac:dyDescent="0.25">
      <c r="A67" s="55"/>
      <c r="B67" s="55"/>
      <c r="C67" s="56"/>
      <c r="D67" s="56"/>
      <c r="E67" s="56"/>
      <c r="F67" s="56"/>
      <c r="G67" s="56"/>
      <c r="H67" s="56"/>
      <c r="I67" s="38"/>
      <c r="J67" s="38"/>
    </row>
    <row r="68" spans="1:10" x14ac:dyDescent="0.25">
      <c r="A68" s="57" t="s">
        <v>55</v>
      </c>
      <c r="B68" s="57"/>
      <c r="C68" s="307" t="s">
        <v>69</v>
      </c>
      <c r="D68" s="307"/>
      <c r="E68" s="307"/>
      <c r="F68" s="307"/>
      <c r="G68" s="307"/>
      <c r="H68" s="307"/>
      <c r="I68" s="38"/>
      <c r="J68" s="38"/>
    </row>
    <row r="69" spans="1:10" ht="12.75" customHeight="1" x14ac:dyDescent="0.2">
      <c r="A69" s="308"/>
      <c r="B69" s="308"/>
      <c r="C69" s="58"/>
      <c r="D69" s="59"/>
      <c r="E69" s="59"/>
      <c r="F69" s="43"/>
      <c r="G69" s="43"/>
      <c r="H69" s="43"/>
      <c r="I69" s="38"/>
      <c r="J69" s="38"/>
    </row>
    <row r="70" spans="1:10" x14ac:dyDescent="0.2">
      <c r="A70" s="308" t="s">
        <v>18</v>
      </c>
      <c r="B70" s="308"/>
      <c r="C70" s="307" t="s">
        <v>20</v>
      </c>
      <c r="D70" s="307"/>
      <c r="E70" s="307"/>
      <c r="F70" s="307"/>
      <c r="G70" s="307"/>
      <c r="H70" s="307"/>
      <c r="I70" s="38"/>
      <c r="J70" s="38"/>
    </row>
    <row r="71" spans="1:10" x14ac:dyDescent="0.2">
      <c r="A71" s="308"/>
      <c r="B71" s="308"/>
      <c r="C71" s="58"/>
      <c r="D71" s="59"/>
      <c r="E71" s="59"/>
      <c r="F71" s="43"/>
      <c r="G71" s="43"/>
      <c r="H71" s="43"/>
      <c r="I71" s="38"/>
      <c r="J71" s="38"/>
    </row>
    <row r="72" spans="1:10" x14ac:dyDescent="0.2">
      <c r="A72" s="308" t="s">
        <v>19</v>
      </c>
      <c r="B72" s="308"/>
      <c r="C72" s="58"/>
      <c r="D72" s="59"/>
      <c r="E72" s="59"/>
      <c r="F72" s="43"/>
      <c r="G72" s="43"/>
      <c r="H72" s="43"/>
      <c r="I72" s="38"/>
      <c r="J72" s="38"/>
    </row>
    <row r="73" spans="1:10" ht="12" customHeight="1" x14ac:dyDescent="0.2">
      <c r="A73" s="308"/>
      <c r="B73" s="308"/>
      <c r="C73" s="58"/>
      <c r="D73" s="59"/>
      <c r="E73" s="59"/>
      <c r="F73" s="43"/>
      <c r="G73" s="43"/>
      <c r="H73" s="43"/>
      <c r="I73" s="38"/>
      <c r="J73" s="38"/>
    </row>
    <row r="74" spans="1:10" x14ac:dyDescent="0.2">
      <c r="A74" s="308" t="s">
        <v>45</v>
      </c>
      <c r="B74" s="308"/>
      <c r="C74" s="307" t="s">
        <v>113</v>
      </c>
      <c r="D74" s="307"/>
      <c r="E74" s="307"/>
      <c r="F74" s="307"/>
      <c r="G74" s="307"/>
      <c r="H74" s="307"/>
      <c r="I74" s="38"/>
      <c r="J74" s="38"/>
    </row>
  </sheetData>
  <mergeCells count="28">
    <mergeCell ref="A8:H8"/>
    <mergeCell ref="A9:H9"/>
    <mergeCell ref="C1:H1"/>
    <mergeCell ref="C2:H2"/>
    <mergeCell ref="C4:H4"/>
    <mergeCell ref="A7:H7"/>
    <mergeCell ref="A1:B1"/>
    <mergeCell ref="A2:B2"/>
    <mergeCell ref="A4:B4"/>
    <mergeCell ref="A10:G10"/>
    <mergeCell ref="C14:D14"/>
    <mergeCell ref="E14:F14"/>
    <mergeCell ref="B13:B15"/>
    <mergeCell ref="A13:A15"/>
    <mergeCell ref="C13:H13"/>
    <mergeCell ref="G14:H14"/>
    <mergeCell ref="A11:H11"/>
    <mergeCell ref="A16:H16"/>
    <mergeCell ref="A45:H45"/>
    <mergeCell ref="C68:H68"/>
    <mergeCell ref="C70:H70"/>
    <mergeCell ref="C74:H74"/>
    <mergeCell ref="A72:B72"/>
    <mergeCell ref="A73:B73"/>
    <mergeCell ref="A74:B74"/>
    <mergeCell ref="A69:B69"/>
    <mergeCell ref="A70:B70"/>
    <mergeCell ref="A71:B71"/>
  </mergeCells>
  <printOptions horizontalCentered="1"/>
  <pageMargins left="0.7" right="0.7" top="0.75" bottom="0.75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51"/>
  <sheetViews>
    <sheetView view="pageBreakPreview" topLeftCell="A7" zoomScale="60" workbookViewId="0">
      <selection activeCell="H14" sqref="H14"/>
    </sheetView>
  </sheetViews>
  <sheetFormatPr defaultRowHeight="15" x14ac:dyDescent="0.25"/>
  <cols>
    <col min="1" max="1" width="5" customWidth="1"/>
    <col min="2" max="2" width="80.28515625" customWidth="1"/>
    <col min="3" max="3" width="16.140625" customWidth="1"/>
    <col min="4" max="4" width="16.85546875" style="2" customWidth="1"/>
    <col min="5" max="5" width="16.42578125" style="2" customWidth="1"/>
    <col min="6" max="6" width="46.85546875" customWidth="1"/>
    <col min="7" max="7" width="22.7109375" customWidth="1"/>
    <col min="8" max="8" width="24.85546875" customWidth="1"/>
  </cols>
  <sheetData>
    <row r="1" spans="1:12" ht="22.5" customHeight="1" x14ac:dyDescent="0.25">
      <c r="A1" s="96"/>
      <c r="B1" s="96"/>
      <c r="C1" s="330" t="s">
        <v>16</v>
      </c>
      <c r="D1" s="330"/>
      <c r="E1" s="73"/>
    </row>
    <row r="2" spans="1:12" ht="56.25" customHeight="1" x14ac:dyDescent="0.25">
      <c r="A2" s="97"/>
      <c r="B2" s="97"/>
      <c r="C2" s="338" t="s">
        <v>46</v>
      </c>
      <c r="D2" s="338"/>
      <c r="E2" s="78"/>
    </row>
    <row r="3" spans="1:12" x14ac:dyDescent="0.25">
      <c r="A3" s="98"/>
      <c r="B3" s="98"/>
      <c r="C3" s="98"/>
      <c r="D3" s="98"/>
      <c r="E3" s="8"/>
    </row>
    <row r="4" spans="1:12" x14ac:dyDescent="0.25">
      <c r="A4" s="98"/>
      <c r="B4" s="98"/>
      <c r="C4" s="331" t="s">
        <v>60</v>
      </c>
      <c r="D4" s="331"/>
      <c r="E4" s="74"/>
    </row>
    <row r="5" spans="1:12" x14ac:dyDescent="0.25">
      <c r="A5" s="99"/>
      <c r="B5" s="99"/>
      <c r="C5" s="99"/>
      <c r="D5" s="100"/>
    </row>
    <row r="6" spans="1:12" x14ac:dyDescent="0.25">
      <c r="A6" s="332" t="s">
        <v>40</v>
      </c>
      <c r="B6" s="332"/>
      <c r="C6" s="332"/>
      <c r="D6" s="332"/>
      <c r="E6" s="72"/>
    </row>
    <row r="7" spans="1:12" x14ac:dyDescent="0.25">
      <c r="A7" s="332" t="s">
        <v>54</v>
      </c>
      <c r="B7" s="332"/>
      <c r="C7" s="332"/>
      <c r="D7" s="332"/>
      <c r="E7" s="72"/>
    </row>
    <row r="8" spans="1:12" x14ac:dyDescent="0.25">
      <c r="A8" s="332" t="s">
        <v>73</v>
      </c>
      <c r="B8" s="332"/>
      <c r="C8" s="332"/>
      <c r="D8" s="332"/>
      <c r="E8" s="72"/>
    </row>
    <row r="9" spans="1:12" x14ac:dyDescent="0.25">
      <c r="A9" s="266" t="s">
        <v>68</v>
      </c>
      <c r="B9" s="266"/>
      <c r="C9" s="266"/>
      <c r="D9" s="266"/>
      <c r="E9" s="71"/>
      <c r="F9" s="19"/>
    </row>
    <row r="10" spans="1:12" x14ac:dyDescent="0.25">
      <c r="A10" s="101"/>
      <c r="B10" s="101"/>
      <c r="C10" s="101"/>
      <c r="D10" s="101"/>
      <c r="E10" s="72"/>
    </row>
    <row r="11" spans="1:12" x14ac:dyDescent="0.25">
      <c r="A11" s="102"/>
      <c r="B11" s="337" t="s">
        <v>74</v>
      </c>
      <c r="C11" s="337"/>
      <c r="D11" s="337"/>
      <c r="E11" s="81"/>
      <c r="F11" s="12"/>
    </row>
    <row r="12" spans="1:12" x14ac:dyDescent="0.25">
      <c r="A12" s="102"/>
      <c r="B12" s="179"/>
      <c r="C12" s="179"/>
      <c r="D12" s="179"/>
      <c r="E12" s="81"/>
      <c r="F12" s="12"/>
    </row>
    <row r="13" spans="1:12" ht="18.75" customHeight="1" x14ac:dyDescent="0.25">
      <c r="A13" s="333" t="s">
        <v>5</v>
      </c>
      <c r="B13" s="335" t="s">
        <v>4</v>
      </c>
      <c r="C13" s="328" t="s">
        <v>41</v>
      </c>
      <c r="D13" s="329"/>
      <c r="E13" s="75"/>
    </row>
    <row r="14" spans="1:12" ht="46.5" customHeight="1" x14ac:dyDescent="0.25">
      <c r="A14" s="334"/>
      <c r="B14" s="336"/>
      <c r="C14" s="94" t="s">
        <v>81</v>
      </c>
      <c r="D14" s="91" t="s">
        <v>87</v>
      </c>
      <c r="E14" s="82" t="s">
        <v>75</v>
      </c>
      <c r="F14" s="326" t="s">
        <v>76</v>
      </c>
      <c r="G14" s="327"/>
      <c r="H14" s="27">
        <f>'[1]Уд.вес '!$M$40</f>
        <v>955.5174386909099</v>
      </c>
    </row>
    <row r="15" spans="1:12" ht="17.25" customHeight="1" x14ac:dyDescent="0.25">
      <c r="A15" s="103">
        <v>1</v>
      </c>
      <c r="B15" s="104" t="s">
        <v>3</v>
      </c>
      <c r="C15" s="105"/>
      <c r="D15" s="105"/>
      <c r="E15" s="67"/>
      <c r="F15" s="7" t="s">
        <v>3</v>
      </c>
      <c r="G15" s="7"/>
      <c r="H15" s="20"/>
    </row>
    <row r="16" spans="1:12" x14ac:dyDescent="0.25">
      <c r="A16" s="106"/>
      <c r="B16" s="92" t="s">
        <v>0</v>
      </c>
      <c r="C16" s="95">
        <f>$H$14*14/G16</f>
        <v>0.43041326067158103</v>
      </c>
      <c r="D16" s="95">
        <f>$H$14/H16</f>
        <v>0.34371130888162227</v>
      </c>
      <c r="E16" s="23">
        <v>0.44600000000000001</v>
      </c>
      <c r="F16" s="62" t="s">
        <v>0</v>
      </c>
      <c r="G16" s="63">
        <f>стор!D17</f>
        <v>31080</v>
      </c>
      <c r="H16" s="63">
        <f>стор!E17</f>
        <v>2780</v>
      </c>
      <c r="I16" s="79"/>
      <c r="J16" s="79"/>
      <c r="K16" s="79"/>
      <c r="L16" s="79"/>
    </row>
    <row r="17" spans="1:12" x14ac:dyDescent="0.25">
      <c r="A17" s="106"/>
      <c r="B17" s="92" t="s">
        <v>1</v>
      </c>
      <c r="C17" s="95">
        <f t="shared" ref="C17:C30" si="0">$H$14*14/G17</f>
        <v>0.46384341684024749</v>
      </c>
      <c r="D17" s="95">
        <f t="shared" ref="D17:D30" si="1">$H$14/H17</f>
        <v>0.37179666875132683</v>
      </c>
      <c r="E17" s="23">
        <v>0.47899999999999998</v>
      </c>
      <c r="F17" s="62" t="s">
        <v>1</v>
      </c>
      <c r="G17" s="63">
        <f>стор!D18</f>
        <v>28840</v>
      </c>
      <c r="H17" s="63">
        <f>стор!E18</f>
        <v>2570</v>
      </c>
      <c r="I17" s="79"/>
      <c r="J17" s="79"/>
      <c r="K17" s="79"/>
      <c r="L17" s="79"/>
    </row>
    <row r="18" spans="1:12" x14ac:dyDescent="0.25">
      <c r="A18" s="106"/>
      <c r="B18" s="92" t="s">
        <v>2</v>
      </c>
      <c r="C18" s="95">
        <f t="shared" si="0"/>
        <v>0.21915537584653896</v>
      </c>
      <c r="D18" s="95">
        <f t="shared" si="1"/>
        <v>0.17532430067723118</v>
      </c>
      <c r="E18" s="23">
        <v>0.224</v>
      </c>
      <c r="F18" s="62" t="s">
        <v>2</v>
      </c>
      <c r="G18" s="63">
        <f>стор!D19</f>
        <v>61040</v>
      </c>
      <c r="H18" s="63">
        <f>стор!E19</f>
        <v>5450</v>
      </c>
      <c r="I18" s="79"/>
      <c r="J18" s="79"/>
      <c r="K18" s="79"/>
      <c r="L18" s="79"/>
    </row>
    <row r="19" spans="1:12" x14ac:dyDescent="0.25">
      <c r="A19" s="103">
        <v>2</v>
      </c>
      <c r="B19" s="107" t="s">
        <v>6</v>
      </c>
      <c r="C19" s="95"/>
      <c r="D19" s="95"/>
      <c r="E19" s="23"/>
      <c r="F19" s="64" t="s">
        <v>6</v>
      </c>
      <c r="G19" s="63"/>
      <c r="H19" s="63"/>
      <c r="I19" s="79"/>
      <c r="J19" s="79"/>
      <c r="K19" s="79"/>
      <c r="L19" s="79"/>
    </row>
    <row r="20" spans="1:12" x14ac:dyDescent="0.25">
      <c r="A20" s="106"/>
      <c r="B20" s="92" t="s">
        <v>0</v>
      </c>
      <c r="C20" s="95">
        <f t="shared" si="0"/>
        <v>0.39321705295922216</v>
      </c>
      <c r="D20" s="95">
        <f t="shared" si="1"/>
        <v>0.31431494693779932</v>
      </c>
      <c r="E20" s="23">
        <v>0.40500000000000003</v>
      </c>
      <c r="F20" s="62" t="s">
        <v>0</v>
      </c>
      <c r="G20" s="63">
        <f>стор!D21</f>
        <v>34020</v>
      </c>
      <c r="H20" s="63">
        <f>стор!E21</f>
        <v>3040</v>
      </c>
      <c r="I20" s="79"/>
      <c r="J20" s="79"/>
      <c r="K20" s="79"/>
      <c r="L20" s="79"/>
    </row>
    <row r="21" spans="1:12" x14ac:dyDescent="0.25">
      <c r="A21" s="106"/>
      <c r="B21" s="92" t="s">
        <v>1</v>
      </c>
      <c r="C21" s="95">
        <f t="shared" si="0"/>
        <v>0.42093279237485015</v>
      </c>
      <c r="D21" s="95">
        <f t="shared" si="1"/>
        <v>0.33644980235595418</v>
      </c>
      <c r="E21" s="23">
        <v>0.433</v>
      </c>
      <c r="F21" s="62" t="s">
        <v>1</v>
      </c>
      <c r="G21" s="63">
        <f>стор!D22</f>
        <v>31780</v>
      </c>
      <c r="H21" s="63">
        <f>стор!E22</f>
        <v>2840</v>
      </c>
      <c r="I21" s="79"/>
      <c r="J21" s="79"/>
      <c r="K21" s="79"/>
      <c r="L21" s="79"/>
    </row>
    <row r="22" spans="1:12" x14ac:dyDescent="0.25">
      <c r="A22" s="106"/>
      <c r="B22" s="92" t="s">
        <v>2</v>
      </c>
      <c r="C22" s="95">
        <f t="shared" si="0"/>
        <v>0.20908477870698247</v>
      </c>
      <c r="D22" s="95">
        <f t="shared" si="1"/>
        <v>0.1673410575640823</v>
      </c>
      <c r="E22" s="23">
        <v>0.21299999999999999</v>
      </c>
      <c r="F22" s="62" t="s">
        <v>2</v>
      </c>
      <c r="G22" s="63">
        <f>стор!D23</f>
        <v>63980</v>
      </c>
      <c r="H22" s="63">
        <f>стор!E23</f>
        <v>5710</v>
      </c>
      <c r="I22" s="79"/>
      <c r="J22" s="79"/>
      <c r="K22" s="79"/>
      <c r="L22" s="79"/>
    </row>
    <row r="23" spans="1:12" x14ac:dyDescent="0.25">
      <c r="A23" s="103">
        <v>3</v>
      </c>
      <c r="B23" s="107" t="s">
        <v>7</v>
      </c>
      <c r="C23" s="95"/>
      <c r="D23" s="95"/>
      <c r="E23" s="23"/>
      <c r="F23" s="64" t="s">
        <v>7</v>
      </c>
      <c r="G23" s="63"/>
      <c r="H23" s="63"/>
      <c r="I23" s="79"/>
      <c r="J23" s="79"/>
      <c r="K23" s="79"/>
      <c r="L23" s="79"/>
    </row>
    <row r="24" spans="1:12" x14ac:dyDescent="0.25">
      <c r="A24" s="106"/>
      <c r="B24" s="92" t="s">
        <v>0</v>
      </c>
      <c r="C24" s="95">
        <f t="shared" si="0"/>
        <v>0.36750670718881145</v>
      </c>
      <c r="D24" s="95">
        <f t="shared" si="1"/>
        <v>0.29400536575104919</v>
      </c>
      <c r="E24" s="23">
        <v>0.38300000000000001</v>
      </c>
      <c r="F24" s="62" t="s">
        <v>0</v>
      </c>
      <c r="G24" s="63">
        <f>стор!D25</f>
        <v>36400</v>
      </c>
      <c r="H24" s="63">
        <f>стор!E25</f>
        <v>3250</v>
      </c>
      <c r="I24" s="79"/>
      <c r="J24" s="79"/>
      <c r="K24" s="79"/>
      <c r="L24" s="79"/>
    </row>
    <row r="25" spans="1:12" x14ac:dyDescent="0.25">
      <c r="A25" s="106"/>
      <c r="B25" s="92" t="s">
        <v>1</v>
      </c>
      <c r="C25" s="95">
        <f t="shared" si="0"/>
        <v>0.39160550766020896</v>
      </c>
      <c r="D25" s="95">
        <f t="shared" si="1"/>
        <v>0.31328440612816716</v>
      </c>
      <c r="E25" s="23">
        <v>0.40699999999999997</v>
      </c>
      <c r="F25" s="62" t="s">
        <v>1</v>
      </c>
      <c r="G25" s="63">
        <f>стор!D26</f>
        <v>34160</v>
      </c>
      <c r="H25" s="63">
        <f>стор!E26</f>
        <v>3050</v>
      </c>
      <c r="I25" s="79"/>
      <c r="J25" s="79"/>
      <c r="K25" s="79"/>
      <c r="L25" s="79"/>
    </row>
    <row r="26" spans="1:12" x14ac:dyDescent="0.25">
      <c r="A26" s="106"/>
      <c r="B26" s="92" t="s">
        <v>2</v>
      </c>
      <c r="C26" s="95">
        <f t="shared" si="0"/>
        <v>0.19948171997722544</v>
      </c>
      <c r="D26" s="95">
        <f t="shared" si="1"/>
        <v>0.15951877106692985</v>
      </c>
      <c r="E26" s="23">
        <v>0.20699999999999999</v>
      </c>
      <c r="F26" s="62" t="s">
        <v>2</v>
      </c>
      <c r="G26" s="63">
        <f>стор!D27</f>
        <v>67060</v>
      </c>
      <c r="H26" s="63">
        <f>стор!E27</f>
        <v>5990</v>
      </c>
      <c r="I26" s="79"/>
      <c r="J26" s="79"/>
      <c r="K26" s="79"/>
      <c r="L26" s="79"/>
    </row>
    <row r="27" spans="1:12" ht="20.25" customHeight="1" x14ac:dyDescent="0.25">
      <c r="A27" s="103">
        <v>4</v>
      </c>
      <c r="B27" s="107" t="s">
        <v>8</v>
      </c>
      <c r="C27" s="95"/>
      <c r="D27" s="95"/>
      <c r="E27" s="23"/>
      <c r="F27" s="65" t="s">
        <v>8</v>
      </c>
      <c r="G27" s="63"/>
      <c r="H27" s="63"/>
      <c r="I27" s="79"/>
      <c r="J27" s="79"/>
      <c r="K27" s="79"/>
      <c r="L27" s="79"/>
    </row>
    <row r="28" spans="1:12" x14ac:dyDescent="0.25">
      <c r="A28" s="106"/>
      <c r="B28" s="92" t="s">
        <v>9</v>
      </c>
      <c r="C28" s="95">
        <f t="shared" si="0"/>
        <v>0.57910147799449085</v>
      </c>
      <c r="D28" s="95">
        <f t="shared" si="1"/>
        <v>0.46384341684024755</v>
      </c>
      <c r="E28" s="23">
        <v>0.621</v>
      </c>
      <c r="F28" s="62" t="s">
        <v>9</v>
      </c>
      <c r="G28" s="63">
        <f>стор!D29</f>
        <v>23100</v>
      </c>
      <c r="H28" s="63">
        <f>стор!E29</f>
        <v>2060</v>
      </c>
      <c r="I28" s="79"/>
      <c r="J28" s="79"/>
      <c r="K28" s="79"/>
      <c r="L28" s="79"/>
    </row>
    <row r="29" spans="1:12" x14ac:dyDescent="0.25">
      <c r="A29" s="106"/>
      <c r="B29" s="92" t="s">
        <v>10</v>
      </c>
      <c r="C29" s="95">
        <f t="shared" si="0"/>
        <v>0.51930295581027708</v>
      </c>
      <c r="D29" s="95">
        <f t="shared" si="1"/>
        <v>0.41186096495297841</v>
      </c>
      <c r="E29" s="23">
        <v>0.54500000000000004</v>
      </c>
      <c r="F29" s="62" t="s">
        <v>10</v>
      </c>
      <c r="G29" s="63">
        <f>стор!D30</f>
        <v>25760</v>
      </c>
      <c r="H29" s="63">
        <f>стор!E30</f>
        <v>2320</v>
      </c>
      <c r="I29" s="79"/>
      <c r="J29" s="79"/>
      <c r="K29" s="79"/>
      <c r="L29" s="79"/>
    </row>
    <row r="30" spans="1:12" x14ac:dyDescent="0.25">
      <c r="A30" s="106"/>
      <c r="B30" s="92" t="s">
        <v>11</v>
      </c>
      <c r="C30" s="95">
        <f t="shared" si="0"/>
        <v>0.47069824566054674</v>
      </c>
      <c r="D30" s="95">
        <f t="shared" si="1"/>
        <v>0.3761879679885472</v>
      </c>
      <c r="E30" s="23">
        <v>0.50600000000000001</v>
      </c>
      <c r="F30" s="62" t="s">
        <v>11</v>
      </c>
      <c r="G30" s="63">
        <f>стор!D31</f>
        <v>28420</v>
      </c>
      <c r="H30" s="63">
        <f>стор!E31</f>
        <v>2540</v>
      </c>
      <c r="I30" s="79"/>
      <c r="J30" s="79"/>
      <c r="K30" s="79"/>
      <c r="L30" s="79"/>
    </row>
    <row r="31" spans="1:12" ht="31.5" customHeight="1" x14ac:dyDescent="0.25">
      <c r="A31" s="103">
        <v>5</v>
      </c>
      <c r="B31" s="108" t="s">
        <v>56</v>
      </c>
      <c r="C31" s="95">
        <f>$H$14*14/G31</f>
        <v>0.74649799897727331</v>
      </c>
      <c r="D31" s="95">
        <f>$H$14/H31</f>
        <v>0.59719839918181872</v>
      </c>
      <c r="E31" s="23">
        <v>0.75</v>
      </c>
      <c r="F31" s="66" t="s">
        <v>35</v>
      </c>
      <c r="G31" s="63">
        <f>стор!D32</f>
        <v>17920</v>
      </c>
      <c r="H31" s="63">
        <f>стор!E32</f>
        <v>1600</v>
      </c>
      <c r="I31" s="79"/>
      <c r="J31" s="79"/>
      <c r="K31" s="79"/>
      <c r="L31" s="79"/>
    </row>
    <row r="32" spans="1:12" ht="20.25" customHeight="1" x14ac:dyDescent="0.25">
      <c r="A32" s="103">
        <v>6</v>
      </c>
      <c r="B32" s="107" t="s">
        <v>12</v>
      </c>
      <c r="C32" s="95"/>
      <c r="D32" s="95"/>
      <c r="E32" s="23"/>
      <c r="F32" s="80" t="s">
        <v>12</v>
      </c>
      <c r="G32" s="63"/>
      <c r="H32" s="63"/>
      <c r="I32" s="79"/>
      <c r="J32" s="79"/>
      <c r="K32" s="79"/>
      <c r="L32" s="79"/>
    </row>
    <row r="33" spans="1:12" x14ac:dyDescent="0.25">
      <c r="A33" s="106"/>
      <c r="B33" s="92" t="s">
        <v>1</v>
      </c>
      <c r="C33" s="95">
        <f>$H$14*14*0.75/G33</f>
        <v>0.46234714775366603</v>
      </c>
      <c r="D33" s="95">
        <f>$H$14*0.75/H33</f>
        <v>0.36940107165885694</v>
      </c>
      <c r="E33" s="23">
        <v>0.47899999999999998</v>
      </c>
      <c r="F33" s="62" t="s">
        <v>1</v>
      </c>
      <c r="G33" s="63">
        <f>стор!D34</f>
        <v>21700</v>
      </c>
      <c r="H33" s="63">
        <f>стор!E34</f>
        <v>1940</v>
      </c>
      <c r="I33" s="79"/>
      <c r="J33" s="79"/>
      <c r="K33" s="79"/>
      <c r="L33" s="79"/>
    </row>
    <row r="34" spans="1:12" ht="22.5" customHeight="1" x14ac:dyDescent="0.25">
      <c r="A34" s="103">
        <v>7</v>
      </c>
      <c r="B34" s="107" t="s">
        <v>13</v>
      </c>
      <c r="C34" s="95"/>
      <c r="D34" s="95"/>
      <c r="E34" s="23"/>
      <c r="F34" s="80" t="s">
        <v>13</v>
      </c>
      <c r="G34" s="63"/>
      <c r="H34" s="63"/>
      <c r="I34" s="79"/>
      <c r="J34" s="79"/>
      <c r="K34" s="79"/>
      <c r="L34" s="79"/>
    </row>
    <row r="35" spans="1:12" x14ac:dyDescent="0.25">
      <c r="A35" s="106"/>
      <c r="B35" s="92" t="s">
        <v>1</v>
      </c>
      <c r="C35" s="95">
        <f>$H$14*14*0.75/G35</f>
        <v>0.42155181118716611</v>
      </c>
      <c r="D35" s="95">
        <f>$H$14*0.75/H35</f>
        <v>0.33803682972555776</v>
      </c>
      <c r="E35" s="23">
        <v>0.433</v>
      </c>
      <c r="F35" s="62" t="s">
        <v>1</v>
      </c>
      <c r="G35" s="63">
        <f>стор!D36</f>
        <v>23800</v>
      </c>
      <c r="H35" s="63">
        <f>стор!E36</f>
        <v>2120</v>
      </c>
      <c r="I35" s="79"/>
      <c r="J35" s="79"/>
      <c r="K35" s="79"/>
      <c r="L35" s="79"/>
    </row>
    <row r="36" spans="1:12" ht="18.75" customHeight="1" x14ac:dyDescent="0.25">
      <c r="A36" s="103">
        <v>8</v>
      </c>
      <c r="B36" s="107" t="s">
        <v>14</v>
      </c>
      <c r="C36" s="95"/>
      <c r="D36" s="95"/>
      <c r="E36" s="23"/>
      <c r="F36" s="80" t="s">
        <v>14</v>
      </c>
      <c r="G36" s="63"/>
      <c r="H36" s="63"/>
      <c r="I36" s="79"/>
      <c r="J36" s="79"/>
      <c r="K36" s="79"/>
      <c r="L36" s="79"/>
    </row>
    <row r="37" spans="1:12" x14ac:dyDescent="0.25">
      <c r="A37" s="106"/>
      <c r="B37" s="92" t="s">
        <v>1</v>
      </c>
      <c r="C37" s="95">
        <f>$H$14*0.75*14/G37</f>
        <v>0.39160550766020896</v>
      </c>
      <c r="D37" s="95">
        <f>$H$14*0.75/H37</f>
        <v>0.31294239258435913</v>
      </c>
      <c r="E37" s="23">
        <v>0.40699999999999997</v>
      </c>
      <c r="F37" s="62" t="s">
        <v>1</v>
      </c>
      <c r="G37" s="63">
        <f>стор!D38</f>
        <v>25620</v>
      </c>
      <c r="H37" s="63">
        <f>стор!E38</f>
        <v>2290</v>
      </c>
      <c r="I37" s="79"/>
      <c r="J37" s="79"/>
      <c r="K37" s="79"/>
      <c r="L37" s="79"/>
    </row>
    <row r="38" spans="1:12" ht="21" customHeight="1" x14ac:dyDescent="0.25">
      <c r="A38" s="103">
        <v>9</v>
      </c>
      <c r="B38" s="107" t="s">
        <v>15</v>
      </c>
      <c r="C38" s="95"/>
      <c r="D38" s="95"/>
      <c r="E38" s="23"/>
      <c r="F38" s="80" t="s">
        <v>15</v>
      </c>
      <c r="G38" s="63"/>
      <c r="H38" s="63"/>
      <c r="I38" s="79"/>
      <c r="J38" s="79"/>
      <c r="K38" s="79"/>
      <c r="L38" s="79"/>
    </row>
    <row r="39" spans="1:12" x14ac:dyDescent="0.25">
      <c r="A39" s="106"/>
      <c r="B39" s="92" t="s">
        <v>9</v>
      </c>
      <c r="C39" s="95">
        <f>$H$14*14*0.75/G39</f>
        <v>0.57793393469208254</v>
      </c>
      <c r="D39" s="95">
        <f>$H$14*0.75/H39</f>
        <v>0.46234714775366609</v>
      </c>
      <c r="E39" s="23">
        <v>0.61899999999999999</v>
      </c>
      <c r="F39" s="62" t="s">
        <v>9</v>
      </c>
      <c r="G39" s="63">
        <f>стор!D40</f>
        <v>17360</v>
      </c>
      <c r="H39" s="63">
        <f>стор!E40</f>
        <v>1550</v>
      </c>
      <c r="I39" s="79"/>
      <c r="J39" s="79"/>
      <c r="K39" s="79"/>
      <c r="L39" s="79"/>
    </row>
    <row r="40" spans="1:12" x14ac:dyDescent="0.25">
      <c r="A40" s="106"/>
      <c r="B40" s="92" t="s">
        <v>10</v>
      </c>
      <c r="C40" s="95">
        <f>$H$14*14*0.75/G40</f>
        <v>0.51188434215584455</v>
      </c>
      <c r="D40" s="95">
        <f>$H$14*0.75/H40</f>
        <v>0.40950747372467566</v>
      </c>
      <c r="E40" s="23">
        <v>0.54400000000000004</v>
      </c>
      <c r="F40" s="62" t="s">
        <v>10</v>
      </c>
      <c r="G40" s="63">
        <f>стор!D41</f>
        <v>19600</v>
      </c>
      <c r="H40" s="63">
        <f>стор!E41</f>
        <v>1750</v>
      </c>
      <c r="I40" s="79"/>
      <c r="J40" s="79"/>
      <c r="K40" s="79"/>
      <c r="L40" s="79"/>
    </row>
    <row r="41" spans="1:12" x14ac:dyDescent="0.25">
      <c r="A41" s="106"/>
      <c r="B41" s="92" t="s">
        <v>11</v>
      </c>
      <c r="C41" s="95">
        <f>$H$14*14*0.75/G41</f>
        <v>0.47147242040669896</v>
      </c>
      <c r="D41" s="95">
        <f>$H$14*0.75/H41</f>
        <v>0.37717793632535918</v>
      </c>
      <c r="E41" s="23">
        <v>0.504</v>
      </c>
      <c r="F41" s="62" t="s">
        <v>11</v>
      </c>
      <c r="G41" s="63">
        <f>стор!D42</f>
        <v>21280</v>
      </c>
      <c r="H41" s="63">
        <f>стор!E42</f>
        <v>1900</v>
      </c>
      <c r="I41" s="79"/>
      <c r="J41" s="79"/>
      <c r="K41" s="79"/>
      <c r="L41" s="79"/>
    </row>
    <row r="42" spans="1:12" x14ac:dyDescent="0.25">
      <c r="A42" s="102"/>
      <c r="B42" s="102"/>
      <c r="C42" s="102"/>
      <c r="D42" s="109"/>
      <c r="E42" s="5"/>
      <c r="F42" s="79"/>
      <c r="G42" s="79"/>
      <c r="H42" s="79"/>
      <c r="I42" s="79"/>
      <c r="J42" s="79"/>
      <c r="K42" s="79"/>
      <c r="L42" s="79"/>
    </row>
    <row r="43" spans="1:12" x14ac:dyDescent="0.25">
      <c r="A43" s="102"/>
      <c r="B43" s="102"/>
      <c r="C43" s="102"/>
      <c r="D43" s="109"/>
      <c r="E43" s="5"/>
      <c r="F43" s="79"/>
      <c r="G43" s="79"/>
      <c r="H43" s="79"/>
      <c r="I43" s="79"/>
      <c r="J43" s="79"/>
      <c r="K43" s="79"/>
      <c r="L43" s="79"/>
    </row>
    <row r="44" spans="1:12" x14ac:dyDescent="0.25">
      <c r="A44" s="110" t="s">
        <v>55</v>
      </c>
      <c r="B44" s="110"/>
      <c r="C44" s="110"/>
      <c r="D44" s="111" t="s">
        <v>69</v>
      </c>
      <c r="E44" s="70"/>
      <c r="F44" s="79"/>
      <c r="G44" s="79"/>
      <c r="H44" s="79"/>
      <c r="I44" s="79"/>
      <c r="J44" s="79"/>
      <c r="K44" s="79"/>
      <c r="L44" s="79"/>
    </row>
    <row r="45" spans="1:12" x14ac:dyDescent="0.25">
      <c r="A45" s="280"/>
      <c r="B45" s="280"/>
      <c r="C45" s="112"/>
      <c r="D45" s="113"/>
      <c r="E45" s="25"/>
      <c r="F45" s="79"/>
      <c r="G45" s="79"/>
      <c r="H45" s="79"/>
      <c r="I45" s="79"/>
      <c r="J45" s="79"/>
      <c r="K45" s="79"/>
      <c r="L45" s="79"/>
    </row>
    <row r="46" spans="1:12" x14ac:dyDescent="0.25">
      <c r="A46" s="280" t="s">
        <v>18</v>
      </c>
      <c r="B46" s="280"/>
      <c r="C46" s="112"/>
      <c r="D46" s="111" t="s">
        <v>20</v>
      </c>
      <c r="E46" s="70"/>
      <c r="F46" s="79"/>
      <c r="G46" s="79"/>
      <c r="H46" s="79"/>
      <c r="I46" s="79"/>
      <c r="J46" s="79"/>
      <c r="K46" s="79"/>
      <c r="L46" s="79"/>
    </row>
    <row r="47" spans="1:12" x14ac:dyDescent="0.25">
      <c r="A47" s="280"/>
      <c r="B47" s="280"/>
      <c r="C47" s="112"/>
      <c r="D47" s="113"/>
      <c r="E47" s="25"/>
      <c r="F47" s="79"/>
      <c r="G47" s="79"/>
      <c r="H47" s="79"/>
      <c r="I47" s="79"/>
      <c r="J47" s="79"/>
      <c r="K47" s="79"/>
      <c r="L47" s="79"/>
    </row>
    <row r="48" spans="1:12" x14ac:dyDescent="0.25">
      <c r="A48" s="280" t="s">
        <v>19</v>
      </c>
      <c r="B48" s="280"/>
      <c r="C48" s="112"/>
      <c r="D48" s="113"/>
      <c r="E48" s="25"/>
      <c r="F48" s="79"/>
      <c r="G48" s="79"/>
      <c r="H48" s="79"/>
      <c r="I48" s="79"/>
      <c r="J48" s="79"/>
      <c r="K48" s="79"/>
      <c r="L48" s="79"/>
    </row>
    <row r="49" spans="1:12" x14ac:dyDescent="0.25">
      <c r="A49" s="280"/>
      <c r="B49" s="280"/>
      <c r="C49" s="112"/>
      <c r="D49" s="113"/>
      <c r="E49" s="25"/>
      <c r="F49" s="79"/>
      <c r="G49" s="79"/>
      <c r="H49" s="79"/>
      <c r="I49" s="79"/>
      <c r="J49" s="79"/>
      <c r="K49" s="79"/>
      <c r="L49" s="79"/>
    </row>
    <row r="50" spans="1:12" x14ac:dyDescent="0.25">
      <c r="A50" s="280" t="s">
        <v>45</v>
      </c>
      <c r="B50" s="280"/>
      <c r="C50" s="112"/>
      <c r="D50" s="111" t="s">
        <v>88</v>
      </c>
      <c r="E50" s="70"/>
      <c r="F50" s="79"/>
      <c r="G50" s="79"/>
      <c r="H50" s="79"/>
      <c r="I50" s="79"/>
      <c r="J50" s="79"/>
      <c r="K50" s="79"/>
      <c r="L50" s="79"/>
    </row>
    <row r="51" spans="1:12" x14ac:dyDescent="0.25">
      <c r="F51" s="79"/>
      <c r="G51" s="79"/>
      <c r="H51" s="79"/>
      <c r="I51" s="79"/>
      <c r="J51" s="79"/>
      <c r="K51" s="79"/>
      <c r="L51" s="79"/>
    </row>
  </sheetData>
  <mergeCells count="18">
    <mergeCell ref="F14:G14"/>
    <mergeCell ref="C13:D13"/>
    <mergeCell ref="C1:D1"/>
    <mergeCell ref="C4:D4"/>
    <mergeCell ref="A8:D8"/>
    <mergeCell ref="A9:D9"/>
    <mergeCell ref="A6:D6"/>
    <mergeCell ref="A7:D7"/>
    <mergeCell ref="A13:A14"/>
    <mergeCell ref="B13:B14"/>
    <mergeCell ref="B11:D11"/>
    <mergeCell ref="C2:D2"/>
    <mergeCell ref="A50:B50"/>
    <mergeCell ref="A45:B45"/>
    <mergeCell ref="A46:B46"/>
    <mergeCell ref="A47:B47"/>
    <mergeCell ref="A48:B48"/>
    <mergeCell ref="A49:B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84"/>
  <sheetViews>
    <sheetView view="pageBreakPreview" topLeftCell="A46" zoomScale="70" zoomScaleSheetLayoutView="70" workbookViewId="0">
      <selection activeCell="C31" sqref="C31"/>
    </sheetView>
  </sheetViews>
  <sheetFormatPr defaultColWidth="9.140625" defaultRowHeight="15" x14ac:dyDescent="0.25"/>
  <cols>
    <col min="1" max="1" width="5" style="3" customWidth="1"/>
    <col min="2" max="2" width="92.85546875" style="3" customWidth="1"/>
    <col min="3" max="3" width="34.140625" style="1" customWidth="1"/>
    <col min="4" max="4" width="5.7109375" style="3" hidden="1" customWidth="1"/>
    <col min="5" max="16384" width="9.140625" style="3"/>
  </cols>
  <sheetData>
    <row r="1" spans="1:6" x14ac:dyDescent="0.2">
      <c r="A1" s="4"/>
      <c r="B1" s="342" t="s">
        <v>16</v>
      </c>
      <c r="C1" s="342"/>
    </row>
    <row r="2" spans="1:6" ht="15" customHeight="1" x14ac:dyDescent="0.2">
      <c r="A2" s="10"/>
      <c r="B2" s="341" t="s">
        <v>46</v>
      </c>
      <c r="C2" s="341"/>
    </row>
    <row r="3" spans="1:6" x14ac:dyDescent="0.2">
      <c r="A3" s="11"/>
      <c r="B3" s="4"/>
      <c r="C3" s="11"/>
    </row>
    <row r="4" spans="1:6" x14ac:dyDescent="0.2">
      <c r="A4" s="4"/>
      <c r="B4" s="4"/>
      <c r="C4" s="83" t="s">
        <v>61</v>
      </c>
    </row>
    <row r="5" spans="1:6" ht="9.75" customHeight="1" x14ac:dyDescent="0.25">
      <c r="A5" s="9"/>
      <c r="B5" s="9"/>
      <c r="C5" s="9"/>
    </row>
    <row r="6" spans="1:6" hidden="1" x14ac:dyDescent="0.25">
      <c r="A6" s="8"/>
      <c r="B6" s="8"/>
      <c r="C6" s="6"/>
    </row>
    <row r="7" spans="1:6" x14ac:dyDescent="0.2">
      <c r="A7" s="339" t="s">
        <v>40</v>
      </c>
      <c r="B7" s="339"/>
      <c r="C7" s="339"/>
      <c r="D7" s="3" t="s">
        <v>76</v>
      </c>
      <c r="F7" s="86">
        <f>'[1]Уд.вес '!$M$38</f>
        <v>830.88472929644342</v>
      </c>
    </row>
    <row r="8" spans="1:6" x14ac:dyDescent="0.2">
      <c r="A8" s="339" t="s">
        <v>54</v>
      </c>
      <c r="B8" s="339"/>
      <c r="C8" s="339"/>
    </row>
    <row r="9" spans="1:6" ht="15.75" customHeight="1" x14ac:dyDescent="0.25">
      <c r="A9" s="340" t="s">
        <v>62</v>
      </c>
      <c r="B9" s="340"/>
      <c r="C9" s="340"/>
    </row>
    <row r="10" spans="1:6" ht="6" customHeight="1" x14ac:dyDescent="0.25">
      <c r="A10" s="36"/>
      <c r="B10" s="36"/>
      <c r="C10" s="36"/>
    </row>
    <row r="11" spans="1:6" x14ac:dyDescent="0.25">
      <c r="A11" s="343" t="s">
        <v>71</v>
      </c>
      <c r="B11" s="343"/>
      <c r="C11" s="343"/>
    </row>
    <row r="12" spans="1:6" ht="8.25" customHeight="1" x14ac:dyDescent="0.25">
      <c r="A12" s="180"/>
      <c r="B12" s="180"/>
      <c r="C12" s="180"/>
    </row>
    <row r="13" spans="1:6" ht="26.25" customHeight="1" x14ac:dyDescent="0.25">
      <c r="A13" s="181" t="s">
        <v>5</v>
      </c>
      <c r="B13" s="182" t="s">
        <v>48</v>
      </c>
      <c r="C13" s="27" t="s">
        <v>41</v>
      </c>
    </row>
    <row r="14" spans="1:6" ht="15" customHeight="1" x14ac:dyDescent="0.25">
      <c r="A14" s="344" t="s">
        <v>49</v>
      </c>
      <c r="B14" s="344"/>
      <c r="C14" s="344"/>
    </row>
    <row r="15" spans="1:6" ht="15" customHeight="1" x14ac:dyDescent="0.25">
      <c r="A15" s="14">
        <v>1</v>
      </c>
      <c r="B15" s="14" t="s">
        <v>3</v>
      </c>
      <c r="C15" s="87"/>
    </row>
    <row r="16" spans="1:6" ht="15" customHeight="1" x14ac:dyDescent="0.25">
      <c r="A16" s="114"/>
      <c r="B16" s="114" t="s">
        <v>0</v>
      </c>
      <c r="C16" s="119">
        <f>$F$7/'лпк пол ст-ть'!C17</f>
        <v>0.42609473297253508</v>
      </c>
      <c r="D16" s="77">
        <f>'лпк пол ст-ть'!C17</f>
        <v>1950</v>
      </c>
      <c r="E16" s="88"/>
    </row>
    <row r="17" spans="1:5" ht="15" customHeight="1" x14ac:dyDescent="0.25">
      <c r="A17" s="114"/>
      <c r="B17" s="114" t="s">
        <v>1</v>
      </c>
      <c r="C17" s="119">
        <f>$F$7/'лпк пол ст-ть'!C18</f>
        <v>0.46418141301477284</v>
      </c>
      <c r="D17" s="77">
        <f>'лпк пол ст-ть'!C18</f>
        <v>1790</v>
      </c>
      <c r="E17" s="88"/>
    </row>
    <row r="18" spans="1:5" ht="15" customHeight="1" x14ac:dyDescent="0.25">
      <c r="A18" s="114"/>
      <c r="B18" s="114" t="s">
        <v>2</v>
      </c>
      <c r="C18" s="119">
        <f>$F$7/'лпк пол ст-ть'!C19</f>
        <v>0.20265481202352278</v>
      </c>
      <c r="D18" s="77">
        <f>'лпк пол ст-ть'!C19</f>
        <v>4100</v>
      </c>
      <c r="E18" s="88"/>
    </row>
    <row r="19" spans="1:5" ht="15" customHeight="1" x14ac:dyDescent="0.25">
      <c r="A19" s="115">
        <v>2</v>
      </c>
      <c r="B19" s="115" t="s">
        <v>6</v>
      </c>
      <c r="C19" s="119"/>
      <c r="D19" s="77">
        <f>'лпк пол ст-ть'!C20</f>
        <v>0</v>
      </c>
      <c r="E19" s="88"/>
    </row>
    <row r="20" spans="1:5" ht="15" customHeight="1" x14ac:dyDescent="0.25">
      <c r="A20" s="114"/>
      <c r="B20" s="114" t="s">
        <v>0</v>
      </c>
      <c r="C20" s="119">
        <f>$F$7/'лпк пол ст-ть'!C21</f>
        <v>0.39008672736922229</v>
      </c>
      <c r="D20" s="77">
        <f>'лпк пол ст-ть'!C21</f>
        <v>2130</v>
      </c>
      <c r="E20" s="88"/>
    </row>
    <row r="21" spans="1:5" ht="15" customHeight="1" x14ac:dyDescent="0.25">
      <c r="A21" s="114"/>
      <c r="B21" s="114" t="s">
        <v>1</v>
      </c>
      <c r="C21" s="119">
        <f>$F$7/'лпк пол ст-ть'!C22</f>
        <v>0.42176889812002205</v>
      </c>
      <c r="D21" s="77">
        <f>'лпк пол ст-ть'!C22</f>
        <v>1970</v>
      </c>
      <c r="E21" s="88"/>
    </row>
    <row r="22" spans="1:5" ht="15" customHeight="1" x14ac:dyDescent="0.25">
      <c r="A22" s="114"/>
      <c r="B22" s="114" t="s">
        <v>2</v>
      </c>
      <c r="C22" s="119">
        <f>$F$7/'лпк пол ст-ть'!C23</f>
        <v>0.19413194609729986</v>
      </c>
      <c r="D22" s="77">
        <f>'лпк пол ст-ть'!C23</f>
        <v>4280</v>
      </c>
      <c r="E22" s="88"/>
    </row>
    <row r="23" spans="1:5" ht="15" customHeight="1" x14ac:dyDescent="0.25">
      <c r="A23" s="115">
        <v>3</v>
      </c>
      <c r="B23" s="115" t="s">
        <v>7</v>
      </c>
      <c r="C23" s="119"/>
      <c r="D23" s="77">
        <f>'лпк пол ст-ть'!C24</f>
        <v>0</v>
      </c>
      <c r="E23" s="88"/>
    </row>
    <row r="24" spans="1:5" ht="15" customHeight="1" x14ac:dyDescent="0.25">
      <c r="A24" s="114"/>
      <c r="B24" s="114" t="s">
        <v>0</v>
      </c>
      <c r="C24" s="119">
        <f>$F$7/'лпк пол ст-ть'!C25</f>
        <v>0.36442312688440504</v>
      </c>
      <c r="D24" s="77">
        <f>'лпк пол ст-ть'!C25</f>
        <v>2280</v>
      </c>
      <c r="E24" s="88"/>
    </row>
    <row r="25" spans="1:5" ht="15" customHeight="1" x14ac:dyDescent="0.25">
      <c r="A25" s="116"/>
      <c r="B25" s="114" t="s">
        <v>1</v>
      </c>
      <c r="C25" s="119">
        <f>$F$7/'лпк пол ст-ть'!C26</f>
        <v>0.39192675910209596</v>
      </c>
      <c r="D25" s="77">
        <f>'лпк пол ст-ть'!C26</f>
        <v>2120</v>
      </c>
      <c r="E25" s="88"/>
    </row>
    <row r="26" spans="1:5" ht="15" customHeight="1" x14ac:dyDescent="0.25">
      <c r="A26" s="114"/>
      <c r="B26" s="114" t="s">
        <v>2</v>
      </c>
      <c r="C26" s="119">
        <f>$F$7/'лпк пол ст-ть'!C27</f>
        <v>0.18755862963802333</v>
      </c>
      <c r="D26" s="77">
        <f>'лпк пол ст-ть'!C27</f>
        <v>4430</v>
      </c>
      <c r="E26" s="88"/>
    </row>
    <row r="27" spans="1:5" ht="15" customHeight="1" x14ac:dyDescent="0.25">
      <c r="A27" s="115">
        <v>4</v>
      </c>
      <c r="B27" s="115" t="s">
        <v>8</v>
      </c>
      <c r="C27" s="119"/>
      <c r="D27" s="77">
        <f>'лпк пол ст-ть'!C28</f>
        <v>0</v>
      </c>
      <c r="E27" s="88"/>
    </row>
    <row r="28" spans="1:5" ht="15" customHeight="1" x14ac:dyDescent="0.25">
      <c r="A28" s="115"/>
      <c r="B28" s="114" t="s">
        <v>9</v>
      </c>
      <c r="C28" s="119">
        <f>$F$7/'лпк пол ст-ть'!C29</f>
        <v>0.5851300910538334</v>
      </c>
      <c r="D28" s="77">
        <f>'лпк пол ст-ть'!C29</f>
        <v>1420</v>
      </c>
      <c r="E28" s="88"/>
    </row>
    <row r="29" spans="1:5" ht="15" customHeight="1" x14ac:dyDescent="0.25">
      <c r="A29" s="115"/>
      <c r="B29" s="114" t="s">
        <v>10</v>
      </c>
      <c r="C29" s="119">
        <f>$F$7/'лпк пол ст-ть'!C30</f>
        <v>0.51607747161269779</v>
      </c>
      <c r="D29" s="77">
        <f>'лпк пол ст-ть'!C30</f>
        <v>1610</v>
      </c>
      <c r="E29" s="88"/>
    </row>
    <row r="30" spans="1:5" ht="15" customHeight="1" x14ac:dyDescent="0.25">
      <c r="A30" s="115"/>
      <c r="B30" s="114" t="s">
        <v>11</v>
      </c>
      <c r="C30" s="119">
        <f>$F$7/'лпк пол ст-ть'!C31</f>
        <v>0.47479127388368197</v>
      </c>
      <c r="D30" s="77">
        <f>'лпк пол ст-ть'!C31</f>
        <v>1750</v>
      </c>
      <c r="E30" s="88"/>
    </row>
    <row r="31" spans="1:5" ht="15" customHeight="1" x14ac:dyDescent="0.25">
      <c r="A31" s="115">
        <v>5</v>
      </c>
      <c r="B31" s="117" t="s">
        <v>35</v>
      </c>
      <c r="C31" s="119">
        <f>$F$7/'лпк пол ст-ть'!C32</f>
        <v>0.69822246159364998</v>
      </c>
      <c r="D31" s="77">
        <f>'лпк пол ст-ть'!C32</f>
        <v>1190</v>
      </c>
      <c r="E31" s="88"/>
    </row>
    <row r="32" spans="1:5" ht="15" customHeight="1" x14ac:dyDescent="0.25">
      <c r="A32" s="115">
        <v>6</v>
      </c>
      <c r="B32" s="117" t="s">
        <v>21</v>
      </c>
      <c r="C32" s="119"/>
      <c r="D32" s="77">
        <f>'лпк пол ст-ть'!C33</f>
        <v>0</v>
      </c>
      <c r="E32" s="88"/>
    </row>
    <row r="33" spans="1:5" ht="15" customHeight="1" x14ac:dyDescent="0.25">
      <c r="A33" s="115"/>
      <c r="B33" s="114" t="s">
        <v>1</v>
      </c>
      <c r="C33" s="119">
        <f>($F$7+$F$7*0.75)/D33</f>
        <v>1.0851106539319224</v>
      </c>
      <c r="D33" s="77">
        <f>'лпк пол ст-ть'!C34</f>
        <v>1340</v>
      </c>
      <c r="E33" s="88"/>
    </row>
    <row r="34" spans="1:5" ht="15" customHeight="1" x14ac:dyDescent="0.25">
      <c r="A34" s="115"/>
      <c r="B34" s="114" t="s">
        <v>30</v>
      </c>
      <c r="C34" s="119" t="e">
        <f t="shared" ref="C34:C43" si="0">($F$7+$F$7*0.75)/D34</f>
        <v>#DIV/0!</v>
      </c>
      <c r="D34" s="77">
        <f>'лпк пол ст-ть'!C35</f>
        <v>0</v>
      </c>
      <c r="E34" s="88"/>
    </row>
    <row r="35" spans="1:5" ht="24.75" customHeight="1" x14ac:dyDescent="0.25">
      <c r="A35" s="115"/>
      <c r="B35" s="118" t="s">
        <v>67</v>
      </c>
      <c r="C35" s="119">
        <f t="shared" si="0"/>
        <v>0.98246505153295682</v>
      </c>
      <c r="D35" s="77">
        <f>'лпк пол ст-ть'!C36</f>
        <v>1480</v>
      </c>
      <c r="E35" s="88"/>
    </row>
    <row r="36" spans="1:5" ht="15" customHeight="1" x14ac:dyDescent="0.25">
      <c r="A36" s="115">
        <v>7</v>
      </c>
      <c r="B36" s="117" t="s">
        <v>22</v>
      </c>
      <c r="C36" s="119"/>
      <c r="D36" s="77">
        <f>'лпк пол ст-ть'!C37</f>
        <v>0</v>
      </c>
      <c r="E36" s="88"/>
    </row>
    <row r="37" spans="1:5" ht="15" customHeight="1" x14ac:dyDescent="0.25">
      <c r="A37" s="115"/>
      <c r="B37" s="114" t="s">
        <v>1</v>
      </c>
      <c r="C37" s="119">
        <f t="shared" si="0"/>
        <v>0.91449577123822401</v>
      </c>
      <c r="D37" s="77">
        <f>'лпк пол ст-ть'!C38</f>
        <v>1590</v>
      </c>
      <c r="E37" s="88"/>
    </row>
    <row r="38" spans="1:5" ht="15" customHeight="1" x14ac:dyDescent="0.25">
      <c r="A38" s="115"/>
      <c r="B38" s="114" t="s">
        <v>30</v>
      </c>
      <c r="C38" s="119" t="e">
        <f t="shared" si="0"/>
        <v>#DIV/0!</v>
      </c>
      <c r="D38" s="77">
        <f>'лпк пол ст-ть'!C39</f>
        <v>0</v>
      </c>
      <c r="E38" s="88"/>
    </row>
    <row r="39" spans="1:5" ht="22.5" customHeight="1" x14ac:dyDescent="0.25">
      <c r="A39" s="114"/>
      <c r="B39" s="118" t="s">
        <v>67</v>
      </c>
      <c r="C39" s="119">
        <f t="shared" si="0"/>
        <v>1.3589236226810992</v>
      </c>
      <c r="D39" s="77">
        <f>'лпк пол ст-ть'!C40</f>
        <v>1070</v>
      </c>
      <c r="E39" s="88"/>
    </row>
    <row r="40" spans="1:5" ht="15" customHeight="1" x14ac:dyDescent="0.25">
      <c r="A40" s="115">
        <v>8</v>
      </c>
      <c r="B40" s="117" t="s">
        <v>23</v>
      </c>
      <c r="C40" s="119"/>
      <c r="D40" s="77">
        <f>'лпк пол ст-ть'!C41</f>
        <v>1200</v>
      </c>
      <c r="E40" s="88"/>
    </row>
    <row r="41" spans="1:5" ht="15" customHeight="1" x14ac:dyDescent="0.25">
      <c r="A41" s="114"/>
      <c r="B41" s="118" t="s">
        <v>27</v>
      </c>
      <c r="C41" s="119">
        <f t="shared" si="0"/>
        <v>1.1099605162357069</v>
      </c>
      <c r="D41" s="77">
        <f>'лпк пол ст-ть'!C42</f>
        <v>1310</v>
      </c>
      <c r="E41" s="88"/>
    </row>
    <row r="42" spans="1:5" ht="15" customHeight="1" x14ac:dyDescent="0.25">
      <c r="A42" s="114"/>
      <c r="B42" s="114" t="s">
        <v>30</v>
      </c>
      <c r="C42" s="119" t="e">
        <f t="shared" si="0"/>
        <v>#REF!</v>
      </c>
      <c r="D42" s="77" t="e">
        <f>'лпк пол ст-ть'!#REF!</f>
        <v>#REF!</v>
      </c>
      <c r="E42" s="88"/>
    </row>
    <row r="43" spans="1:5" ht="27" customHeight="1" x14ac:dyDescent="0.25">
      <c r="A43" s="114"/>
      <c r="B43" s="118" t="s">
        <v>67</v>
      </c>
      <c r="C43" s="119" t="e">
        <f t="shared" si="0"/>
        <v>#REF!</v>
      </c>
      <c r="D43" s="77" t="e">
        <f>'лпк пол ст-ть'!#REF!</f>
        <v>#REF!</v>
      </c>
      <c r="E43" s="88"/>
    </row>
    <row r="44" spans="1:5" ht="15" customHeight="1" x14ac:dyDescent="0.25">
      <c r="A44" s="115">
        <v>9</v>
      </c>
      <c r="B44" s="117" t="s">
        <v>24</v>
      </c>
      <c r="C44" s="119"/>
      <c r="D44" s="77" t="e">
        <f>'лпк пол ст-ть'!#REF!</f>
        <v>#REF!</v>
      </c>
      <c r="E44" s="88"/>
    </row>
    <row r="45" spans="1:5" ht="29.25" customHeight="1" x14ac:dyDescent="0.25">
      <c r="A45" s="115"/>
      <c r="B45" s="118" t="s">
        <v>65</v>
      </c>
      <c r="C45" s="119" t="e">
        <f>(F7+F7*2*0.75)/D45</f>
        <v>#REF!</v>
      </c>
      <c r="D45" s="77" t="e">
        <f>'лпк пол ст-ть'!#REF!</f>
        <v>#REF!</v>
      </c>
      <c r="E45" s="88"/>
    </row>
    <row r="46" spans="1:5" ht="15" customHeight="1" x14ac:dyDescent="0.25">
      <c r="A46" s="115">
        <v>10</v>
      </c>
      <c r="B46" s="117" t="s">
        <v>25</v>
      </c>
      <c r="C46" s="119"/>
      <c r="D46" s="77" t="e">
        <f>'лпк пол ст-ть'!#REF!</f>
        <v>#REF!</v>
      </c>
      <c r="E46" s="88"/>
    </row>
    <row r="47" spans="1:5" ht="25.5" customHeight="1" x14ac:dyDescent="0.25">
      <c r="A47" s="115"/>
      <c r="B47" s="118" t="s">
        <v>65</v>
      </c>
      <c r="C47" s="119" t="e">
        <f>(F7+F7*2*0.75)/D47</f>
        <v>#REF!</v>
      </c>
      <c r="D47" s="77" t="e">
        <f>'лпк пол ст-ть'!#REF!</f>
        <v>#REF!</v>
      </c>
      <c r="E47" s="88"/>
    </row>
    <row r="48" spans="1:5" ht="15" customHeight="1" x14ac:dyDescent="0.25">
      <c r="A48" s="115">
        <v>11</v>
      </c>
      <c r="B48" s="117" t="s">
        <v>26</v>
      </c>
      <c r="C48" s="119"/>
      <c r="D48" s="77" t="e">
        <f>'лпк пол ст-ть'!#REF!</f>
        <v>#REF!</v>
      </c>
      <c r="E48" s="88"/>
    </row>
    <row r="49" spans="1:5" ht="27" customHeight="1" x14ac:dyDescent="0.25">
      <c r="A49" s="114"/>
      <c r="B49" s="118" t="s">
        <v>65</v>
      </c>
      <c r="C49" s="119" t="e">
        <f>(F7+F7*2*0.75)/D49</f>
        <v>#REF!</v>
      </c>
      <c r="D49" s="77" t="e">
        <f>'лпк пол ст-ть'!#REF!</f>
        <v>#REF!</v>
      </c>
      <c r="E49" s="88"/>
    </row>
    <row r="50" spans="1:5" ht="18" customHeight="1" x14ac:dyDescent="0.25">
      <c r="A50" s="345" t="s">
        <v>44</v>
      </c>
      <c r="B50" s="345"/>
      <c r="C50" s="345"/>
      <c r="D50" s="13"/>
      <c r="E50" s="88"/>
    </row>
    <row r="51" spans="1:5" ht="15" customHeight="1" x14ac:dyDescent="0.25">
      <c r="A51" s="115">
        <v>1</v>
      </c>
      <c r="B51" s="115" t="s">
        <v>6</v>
      </c>
      <c r="C51" s="119"/>
      <c r="E51" s="88"/>
    </row>
    <row r="52" spans="1:5" ht="15" customHeight="1" x14ac:dyDescent="0.25">
      <c r="A52" s="114"/>
      <c r="B52" s="114" t="s">
        <v>0</v>
      </c>
      <c r="C52" s="119">
        <f>C20</f>
        <v>0.39008672736922229</v>
      </c>
      <c r="D52" s="77" t="e">
        <f>'лпк пол ст-ть'!#REF!</f>
        <v>#REF!</v>
      </c>
      <c r="E52" s="88"/>
    </row>
    <row r="53" spans="1:5" ht="15" customHeight="1" x14ac:dyDescent="0.25">
      <c r="A53" s="114"/>
      <c r="B53" s="114" t="s">
        <v>1</v>
      </c>
      <c r="C53" s="119">
        <f>C21</f>
        <v>0.42176889812002205</v>
      </c>
      <c r="D53" s="77" t="e">
        <f>'лпк пол ст-ть'!#REF!</f>
        <v>#REF!</v>
      </c>
      <c r="E53" s="88"/>
    </row>
    <row r="54" spans="1:5" ht="15" customHeight="1" x14ac:dyDescent="0.25">
      <c r="A54" s="115">
        <v>2</v>
      </c>
      <c r="B54" s="115" t="s">
        <v>7</v>
      </c>
      <c r="C54" s="119"/>
      <c r="D54" s="77" t="e">
        <f>'лпк пол ст-ть'!#REF!</f>
        <v>#REF!</v>
      </c>
      <c r="E54" s="88"/>
    </row>
    <row r="55" spans="1:5" ht="15" customHeight="1" x14ac:dyDescent="0.25">
      <c r="A55" s="114"/>
      <c r="B55" s="114" t="s">
        <v>0</v>
      </c>
      <c r="C55" s="119">
        <f>C24</f>
        <v>0.36442312688440504</v>
      </c>
      <c r="D55" s="77" t="e">
        <f>'лпк пол ст-ть'!#REF!</f>
        <v>#REF!</v>
      </c>
      <c r="E55" s="88"/>
    </row>
    <row r="56" spans="1:5" ht="15" customHeight="1" x14ac:dyDescent="0.25">
      <c r="A56" s="114"/>
      <c r="B56" s="114" t="s">
        <v>1</v>
      </c>
      <c r="C56" s="119">
        <f>C25</f>
        <v>0.39192675910209596</v>
      </c>
      <c r="D56" s="77" t="e">
        <f>'лпк пол ст-ть'!#REF!</f>
        <v>#REF!</v>
      </c>
      <c r="E56" s="88"/>
    </row>
    <row r="57" spans="1:5" ht="15" customHeight="1" x14ac:dyDescent="0.25">
      <c r="A57" s="115">
        <v>3</v>
      </c>
      <c r="B57" s="115" t="s">
        <v>8</v>
      </c>
      <c r="C57" s="119"/>
      <c r="D57" s="77" t="e">
        <f>'лпк пол ст-ть'!#REF!</f>
        <v>#REF!</v>
      </c>
      <c r="E57" s="88"/>
    </row>
    <row r="58" spans="1:5" ht="15" customHeight="1" x14ac:dyDescent="0.25">
      <c r="A58" s="115"/>
      <c r="B58" s="114" t="s">
        <v>9</v>
      </c>
      <c r="C58" s="119">
        <f>C28</f>
        <v>0.5851300910538334</v>
      </c>
      <c r="D58" s="77" t="e">
        <f>'лпк пол ст-ть'!#REF!</f>
        <v>#REF!</v>
      </c>
      <c r="E58" s="88"/>
    </row>
    <row r="59" spans="1:5" ht="15" customHeight="1" x14ac:dyDescent="0.25">
      <c r="A59" s="115"/>
      <c r="B59" s="114" t="s">
        <v>10</v>
      </c>
      <c r="C59" s="119">
        <f t="shared" ref="C59:C60" si="1">C29</f>
        <v>0.51607747161269779</v>
      </c>
      <c r="D59" s="77" t="e">
        <f>'лпк пол ст-ть'!#REF!</f>
        <v>#REF!</v>
      </c>
      <c r="E59" s="88"/>
    </row>
    <row r="60" spans="1:5" ht="15" customHeight="1" x14ac:dyDescent="0.25">
      <c r="A60" s="115"/>
      <c r="B60" s="114" t="s">
        <v>11</v>
      </c>
      <c r="C60" s="119">
        <f t="shared" si="1"/>
        <v>0.47479127388368197</v>
      </c>
      <c r="D60" s="77" t="e">
        <f>'лпк пол ст-ть'!#REF!</f>
        <v>#REF!</v>
      </c>
      <c r="E60" s="88"/>
    </row>
    <row r="61" spans="1:5" ht="15" customHeight="1" x14ac:dyDescent="0.25">
      <c r="A61" s="115">
        <v>4</v>
      </c>
      <c r="B61" s="117" t="s">
        <v>21</v>
      </c>
      <c r="C61" s="119"/>
      <c r="D61" s="77" t="e">
        <f>'лпк пол ст-ть'!#REF!</f>
        <v>#REF!</v>
      </c>
      <c r="E61" s="88"/>
    </row>
    <row r="62" spans="1:5" ht="15" customHeight="1" x14ac:dyDescent="0.25">
      <c r="A62" s="115"/>
      <c r="B62" s="114" t="s">
        <v>1</v>
      </c>
      <c r="C62" s="119">
        <f>C33</f>
        <v>1.0851106539319224</v>
      </c>
      <c r="D62" s="77" t="e">
        <f>'лпк пол ст-ть'!#REF!</f>
        <v>#REF!</v>
      </c>
      <c r="E62" s="88"/>
    </row>
    <row r="63" spans="1:5" ht="15" customHeight="1" x14ac:dyDescent="0.25">
      <c r="A63" s="115">
        <v>5</v>
      </c>
      <c r="B63" s="117" t="s">
        <v>22</v>
      </c>
      <c r="C63" s="119"/>
      <c r="D63" s="77" t="e">
        <f>'лпк пол ст-ть'!#REF!</f>
        <v>#REF!</v>
      </c>
      <c r="E63" s="88"/>
    </row>
    <row r="64" spans="1:5" ht="15" customHeight="1" x14ac:dyDescent="0.25">
      <c r="A64" s="115"/>
      <c r="B64" s="114" t="s">
        <v>1</v>
      </c>
      <c r="C64" s="119">
        <f>C37</f>
        <v>0.91449577123822401</v>
      </c>
      <c r="D64" s="77" t="e">
        <f>'лпк пол ст-ть'!#REF!</f>
        <v>#REF!</v>
      </c>
      <c r="E64" s="88"/>
    </row>
    <row r="65" spans="1:5" ht="15" customHeight="1" x14ac:dyDescent="0.25">
      <c r="A65" s="115"/>
      <c r="B65" s="114" t="s">
        <v>30</v>
      </c>
      <c r="C65" s="119" t="e">
        <f>C38</f>
        <v>#DIV/0!</v>
      </c>
      <c r="D65" s="77" t="e">
        <f>'лпк пол ст-ть'!#REF!</f>
        <v>#REF!</v>
      </c>
      <c r="E65" s="88"/>
    </row>
    <row r="66" spans="1:5" ht="15" customHeight="1" x14ac:dyDescent="0.25">
      <c r="A66" s="115">
        <v>6</v>
      </c>
      <c r="B66" s="117" t="s">
        <v>23</v>
      </c>
      <c r="C66" s="119"/>
      <c r="D66" s="77" t="e">
        <f>'лпк пол ст-ть'!#REF!</f>
        <v>#REF!</v>
      </c>
      <c r="E66" s="88"/>
    </row>
    <row r="67" spans="1:5" ht="15" customHeight="1" x14ac:dyDescent="0.25">
      <c r="A67" s="114"/>
      <c r="B67" s="118" t="s">
        <v>27</v>
      </c>
      <c r="C67" s="119">
        <f>C41</f>
        <v>1.1099605162357069</v>
      </c>
      <c r="D67" s="77" t="e">
        <f>'лпк пол ст-ть'!#REF!</f>
        <v>#REF!</v>
      </c>
      <c r="E67" s="88"/>
    </row>
    <row r="68" spans="1:5" ht="15" customHeight="1" x14ac:dyDescent="0.25">
      <c r="A68" s="114"/>
      <c r="B68" s="114" t="s">
        <v>30</v>
      </c>
      <c r="C68" s="119" t="e">
        <f>C42</f>
        <v>#REF!</v>
      </c>
      <c r="D68" s="77" t="e">
        <f>'лпк пол ст-ть'!#REF!</f>
        <v>#REF!</v>
      </c>
      <c r="E68" s="88"/>
    </row>
    <row r="69" spans="1:5" ht="15" customHeight="1" x14ac:dyDescent="0.25">
      <c r="A69" s="115">
        <v>7</v>
      </c>
      <c r="B69" s="117" t="s">
        <v>24</v>
      </c>
      <c r="C69" s="119"/>
      <c r="D69" s="77" t="e">
        <f>'лпк пол ст-ть'!#REF!</f>
        <v>#REF!</v>
      </c>
      <c r="E69" s="88"/>
    </row>
    <row r="70" spans="1:5" ht="24.75" customHeight="1" x14ac:dyDescent="0.25">
      <c r="A70" s="114"/>
      <c r="B70" s="118" t="s">
        <v>65</v>
      </c>
      <c r="C70" s="119" t="e">
        <f>C45</f>
        <v>#REF!</v>
      </c>
      <c r="D70" s="77" t="e">
        <f>'лпк пол ст-ть'!#REF!</f>
        <v>#REF!</v>
      </c>
      <c r="E70" s="88"/>
    </row>
    <row r="71" spans="1:5" ht="15" customHeight="1" x14ac:dyDescent="0.25">
      <c r="A71" s="115">
        <v>8</v>
      </c>
      <c r="B71" s="117" t="s">
        <v>25</v>
      </c>
      <c r="C71" s="119"/>
      <c r="D71" s="77" t="e">
        <f>'лпк пол ст-ть'!#REF!</f>
        <v>#REF!</v>
      </c>
      <c r="E71" s="88"/>
    </row>
    <row r="72" spans="1:5" ht="24.75" customHeight="1" x14ac:dyDescent="0.25">
      <c r="A72" s="114"/>
      <c r="B72" s="118" t="s">
        <v>65</v>
      </c>
      <c r="C72" s="119" t="e">
        <f>C47</f>
        <v>#REF!</v>
      </c>
      <c r="D72" s="77" t="e">
        <f>'лпк пол ст-ть'!#REF!</f>
        <v>#REF!</v>
      </c>
      <c r="E72" s="88"/>
    </row>
    <row r="73" spans="1:5" ht="15" customHeight="1" x14ac:dyDescent="0.25">
      <c r="A73" s="115">
        <v>9</v>
      </c>
      <c r="B73" s="117" t="s">
        <v>26</v>
      </c>
      <c r="C73" s="119"/>
      <c r="D73" s="77" t="e">
        <f>'лпк пол ст-ть'!#REF!</f>
        <v>#REF!</v>
      </c>
      <c r="E73" s="88"/>
    </row>
    <row r="74" spans="1:5" ht="27.75" customHeight="1" x14ac:dyDescent="0.25">
      <c r="A74" s="114"/>
      <c r="B74" s="118" t="s">
        <v>65</v>
      </c>
      <c r="C74" s="119" t="e">
        <f>C49</f>
        <v>#REF!</v>
      </c>
      <c r="D74" s="77" t="e">
        <f>'лпк пол ст-ть'!#REF!</f>
        <v>#REF!</v>
      </c>
      <c r="E74" s="88"/>
    </row>
    <row r="75" spans="1:5" ht="24.75" customHeight="1" x14ac:dyDescent="0.25">
      <c r="A75" s="115">
        <v>10</v>
      </c>
      <c r="B75" s="345" t="s">
        <v>64</v>
      </c>
      <c r="C75" s="345"/>
      <c r="D75" s="77"/>
      <c r="E75" s="88"/>
    </row>
    <row r="76" spans="1:5" ht="15" customHeight="1" x14ac:dyDescent="0.25">
      <c r="A76" s="114"/>
      <c r="B76" s="114" t="s">
        <v>36</v>
      </c>
      <c r="C76" s="119" t="e">
        <f>(F7+F7*0.75*3)/D76</f>
        <v>#REF!</v>
      </c>
      <c r="D76" s="77" t="e">
        <f>'лпк пол ст-ть'!#REF!</f>
        <v>#REF!</v>
      </c>
      <c r="E76" s="88"/>
    </row>
    <row r="77" spans="1:5" ht="15" customHeight="1" x14ac:dyDescent="0.25">
      <c r="A77" s="114"/>
      <c r="B77" s="114" t="s">
        <v>37</v>
      </c>
      <c r="C77" s="119" t="e">
        <f>(F7+F7*0.75*3)/D77</f>
        <v>#REF!</v>
      </c>
      <c r="D77" s="77" t="e">
        <f>'лпк пол ст-ть'!#REF!</f>
        <v>#REF!</v>
      </c>
      <c r="E77" s="88"/>
    </row>
    <row r="78" spans="1:5" x14ac:dyDescent="0.25">
      <c r="A78" s="8"/>
      <c r="B78" s="8"/>
      <c r="C78" s="6"/>
    </row>
    <row r="79" spans="1:5" x14ac:dyDescent="0.25">
      <c r="A79" s="26" t="s">
        <v>55</v>
      </c>
      <c r="B79" s="26"/>
      <c r="C79" s="85" t="s">
        <v>69</v>
      </c>
    </row>
    <row r="80" spans="1:5" x14ac:dyDescent="0.2">
      <c r="A80" s="298"/>
      <c r="B80" s="298"/>
      <c r="C80" s="84"/>
    </row>
    <row r="81" spans="1:3" x14ac:dyDescent="0.2">
      <c r="A81" s="298" t="s">
        <v>18</v>
      </c>
      <c r="B81" s="298"/>
      <c r="C81" s="85" t="s">
        <v>20</v>
      </c>
    </row>
    <row r="82" spans="1:3" x14ac:dyDescent="0.2">
      <c r="A82" s="298"/>
      <c r="B82" s="298"/>
      <c r="C82" s="84"/>
    </row>
    <row r="83" spans="1:3" x14ac:dyDescent="0.2">
      <c r="A83" s="298" t="s">
        <v>19</v>
      </c>
      <c r="B83" s="298"/>
      <c r="C83" s="84"/>
    </row>
    <row r="84" spans="1:3" x14ac:dyDescent="0.2">
      <c r="A84" s="298" t="s">
        <v>45</v>
      </c>
      <c r="B84" s="298"/>
      <c r="C84" s="85" t="s">
        <v>88</v>
      </c>
    </row>
  </sheetData>
  <mergeCells count="14">
    <mergeCell ref="A84:B84"/>
    <mergeCell ref="A11:C11"/>
    <mergeCell ref="A83:B83"/>
    <mergeCell ref="A80:B80"/>
    <mergeCell ref="A81:B81"/>
    <mergeCell ref="A82:B82"/>
    <mergeCell ref="A14:C14"/>
    <mergeCell ref="A50:C50"/>
    <mergeCell ref="B75:C75"/>
    <mergeCell ref="A7:C7"/>
    <mergeCell ref="A8:C8"/>
    <mergeCell ref="A9:C9"/>
    <mergeCell ref="B2:C2"/>
    <mergeCell ref="B1:C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37"/>
  <sheetViews>
    <sheetView view="pageBreakPreview" zoomScale="60" workbookViewId="0">
      <selection activeCell="G19" sqref="G19"/>
    </sheetView>
  </sheetViews>
  <sheetFormatPr defaultColWidth="8.85546875" defaultRowHeight="15" x14ac:dyDescent="0.25"/>
  <cols>
    <col min="1" max="1" width="5" style="17" customWidth="1"/>
    <col min="2" max="2" width="68.7109375" style="17" customWidth="1"/>
    <col min="3" max="3" width="20.85546875" style="17" customWidth="1"/>
    <col min="4" max="4" width="20.140625" style="24" customWidth="1"/>
    <col min="5" max="5" width="13" style="22" customWidth="1"/>
    <col min="6" max="6" width="15.42578125" style="24" customWidth="1"/>
    <col min="7" max="16384" width="8.85546875" style="17"/>
  </cols>
  <sheetData>
    <row r="1" spans="1:6" x14ac:dyDescent="0.25">
      <c r="A1" s="122"/>
      <c r="B1" s="122"/>
      <c r="C1" s="122"/>
      <c r="D1" s="347" t="s">
        <v>16</v>
      </c>
      <c r="E1" s="347"/>
      <c r="F1" s="347"/>
    </row>
    <row r="2" spans="1:6" ht="27.75" customHeight="1" x14ac:dyDescent="0.25">
      <c r="A2" s="123"/>
      <c r="B2" s="123"/>
      <c r="C2" s="123"/>
      <c r="D2" s="348" t="s">
        <v>46</v>
      </c>
      <c r="E2" s="348"/>
      <c r="F2" s="348"/>
    </row>
    <row r="3" spans="1:6" x14ac:dyDescent="0.25">
      <c r="A3" s="124"/>
      <c r="B3" s="122"/>
      <c r="C3" s="122"/>
      <c r="D3" s="124"/>
      <c r="E3" s="121"/>
      <c r="F3" s="184"/>
    </row>
    <row r="4" spans="1:6" x14ac:dyDescent="0.25">
      <c r="A4" s="122"/>
      <c r="B4" s="122"/>
      <c r="C4" s="122"/>
      <c r="D4" s="349" t="s">
        <v>57</v>
      </c>
      <c r="E4" s="349"/>
      <c r="F4" s="349"/>
    </row>
    <row r="5" spans="1:6" x14ac:dyDescent="0.25">
      <c r="A5" s="125"/>
      <c r="B5" s="126"/>
      <c r="C5" s="126"/>
      <c r="D5" s="127"/>
      <c r="E5" s="127"/>
      <c r="F5" s="127"/>
    </row>
    <row r="6" spans="1:6" x14ac:dyDescent="0.25">
      <c r="A6" s="125"/>
      <c r="B6" s="125"/>
      <c r="C6" s="125"/>
      <c r="D6" s="127"/>
      <c r="E6" s="111"/>
      <c r="F6" s="127"/>
    </row>
    <row r="7" spans="1:6" ht="15.75" x14ac:dyDescent="0.25">
      <c r="A7" s="346" t="s">
        <v>17</v>
      </c>
      <c r="B7" s="346"/>
      <c r="C7" s="346"/>
      <c r="D7" s="346"/>
      <c r="E7" s="346"/>
      <c r="F7" s="346"/>
    </row>
    <row r="8" spans="1:6" ht="15.75" x14ac:dyDescent="0.25">
      <c r="A8" s="346" t="s">
        <v>47</v>
      </c>
      <c r="B8" s="346"/>
      <c r="C8" s="346"/>
      <c r="D8" s="346"/>
      <c r="E8" s="346"/>
      <c r="F8" s="346"/>
    </row>
    <row r="9" spans="1:6" ht="15.75" x14ac:dyDescent="0.25">
      <c r="A9" s="346" t="s">
        <v>31</v>
      </c>
      <c r="B9" s="346"/>
      <c r="C9" s="346"/>
      <c r="D9" s="346"/>
      <c r="E9" s="346"/>
      <c r="F9" s="346"/>
    </row>
    <row r="10" spans="1:6" ht="15.75" x14ac:dyDescent="0.25">
      <c r="A10" s="346" t="s">
        <v>77</v>
      </c>
      <c r="B10" s="346"/>
      <c r="C10" s="346"/>
      <c r="D10" s="346"/>
      <c r="E10" s="346"/>
      <c r="F10" s="346"/>
    </row>
    <row r="11" spans="1:6" x14ac:dyDescent="0.25">
      <c r="A11" s="265" t="s">
        <v>70</v>
      </c>
      <c r="B11" s="265"/>
      <c r="C11" s="265"/>
      <c r="D11" s="265"/>
      <c r="E11" s="265"/>
      <c r="F11" s="265"/>
    </row>
    <row r="12" spans="1:6" x14ac:dyDescent="0.25">
      <c r="A12" s="128"/>
      <c r="B12" s="128"/>
      <c r="C12" s="128"/>
      <c r="D12" s="128"/>
      <c r="E12" s="128"/>
      <c r="F12" s="128"/>
    </row>
    <row r="13" spans="1:6" ht="18.75" customHeight="1" x14ac:dyDescent="0.25">
      <c r="A13" s="366" t="s">
        <v>5</v>
      </c>
      <c r="B13" s="363" t="s">
        <v>48</v>
      </c>
      <c r="C13" s="357" t="s">
        <v>32</v>
      </c>
      <c r="D13" s="358"/>
      <c r="E13" s="358"/>
      <c r="F13" s="359"/>
    </row>
    <row r="14" spans="1:6" ht="31.5" customHeight="1" x14ac:dyDescent="0.25">
      <c r="A14" s="367"/>
      <c r="B14" s="364"/>
      <c r="C14" s="360" t="s">
        <v>78</v>
      </c>
      <c r="D14" s="361"/>
      <c r="E14" s="361"/>
      <c r="F14" s="362"/>
    </row>
    <row r="15" spans="1:6" ht="33" customHeight="1" x14ac:dyDescent="0.25">
      <c r="A15" s="367"/>
      <c r="B15" s="364"/>
      <c r="C15" s="360" t="s">
        <v>79</v>
      </c>
      <c r="D15" s="361"/>
      <c r="E15" s="361"/>
      <c r="F15" s="362"/>
    </row>
    <row r="16" spans="1:6" ht="31.5" customHeight="1" x14ac:dyDescent="0.25">
      <c r="A16" s="368"/>
      <c r="B16" s="365"/>
      <c r="C16" s="360" t="s">
        <v>80</v>
      </c>
      <c r="D16" s="361"/>
      <c r="E16" s="361"/>
      <c r="F16" s="362"/>
    </row>
    <row r="17" spans="1:12" ht="24.75" customHeight="1" x14ac:dyDescent="0.25">
      <c r="A17" s="129">
        <v>1</v>
      </c>
      <c r="B17" s="185" t="s">
        <v>7</v>
      </c>
      <c r="C17" s="369" t="s">
        <v>81</v>
      </c>
      <c r="D17" s="370"/>
      <c r="E17" s="370"/>
      <c r="F17" s="371"/>
    </row>
    <row r="18" spans="1:12" ht="24" customHeight="1" x14ac:dyDescent="0.25">
      <c r="A18" s="92"/>
      <c r="B18" s="186" t="s">
        <v>1</v>
      </c>
      <c r="C18" s="372">
        <v>25620</v>
      </c>
      <c r="D18" s="373"/>
      <c r="E18" s="373"/>
      <c r="F18" s="374"/>
      <c r="G18" s="69">
        <f>C18/14</f>
        <v>1830</v>
      </c>
      <c r="H18" s="69"/>
      <c r="L18" s="183"/>
    </row>
    <row r="19" spans="1:12" x14ac:dyDescent="0.25">
      <c r="A19" s="125"/>
      <c r="B19" s="125"/>
      <c r="C19" s="125"/>
      <c r="D19" s="127"/>
      <c r="E19" s="111"/>
      <c r="F19" s="127"/>
    </row>
    <row r="20" spans="1:12" x14ac:dyDescent="0.25">
      <c r="A20" s="125"/>
      <c r="B20" s="125"/>
      <c r="C20" s="125"/>
      <c r="D20" s="127"/>
      <c r="E20" s="111"/>
      <c r="F20" s="127"/>
    </row>
    <row r="21" spans="1:12" ht="16.5" customHeight="1" x14ac:dyDescent="0.25">
      <c r="A21" s="350" t="s">
        <v>39</v>
      </c>
      <c r="B21" s="350"/>
      <c r="C21" s="350"/>
      <c r="D21" s="350"/>
      <c r="E21" s="350"/>
      <c r="F21" s="350"/>
    </row>
    <row r="22" spans="1:12" ht="48.75" customHeight="1" x14ac:dyDescent="0.25">
      <c r="A22" s="351" t="s">
        <v>83</v>
      </c>
      <c r="B22" s="352"/>
      <c r="C22" s="352"/>
      <c r="D22" s="352"/>
      <c r="E22" s="352"/>
      <c r="F22" s="353"/>
    </row>
    <row r="23" spans="1:12" ht="31.5" customHeight="1" x14ac:dyDescent="0.25">
      <c r="A23" s="354" t="s">
        <v>84</v>
      </c>
      <c r="B23" s="355"/>
      <c r="C23" s="355"/>
      <c r="D23" s="355"/>
      <c r="E23" s="355"/>
      <c r="F23" s="356"/>
    </row>
    <row r="24" spans="1:12" ht="36.75" customHeight="1" x14ac:dyDescent="0.25">
      <c r="A24" s="354" t="s">
        <v>85</v>
      </c>
      <c r="B24" s="355"/>
      <c r="C24" s="355"/>
      <c r="D24" s="355"/>
      <c r="E24" s="355"/>
      <c r="F24" s="356"/>
    </row>
    <row r="25" spans="1:12" x14ac:dyDescent="0.25">
      <c r="A25" s="125"/>
      <c r="B25" s="125"/>
      <c r="C25" s="125"/>
      <c r="D25" s="127"/>
      <c r="E25" s="111"/>
      <c r="F25" s="127"/>
    </row>
    <row r="26" spans="1:12" x14ac:dyDescent="0.25">
      <c r="A26" s="110" t="s">
        <v>55</v>
      </c>
      <c r="B26" s="110"/>
      <c r="C26" s="110"/>
      <c r="D26" s="279" t="s">
        <v>69</v>
      </c>
      <c r="E26" s="279"/>
      <c r="F26" s="279"/>
    </row>
    <row r="27" spans="1:12" x14ac:dyDescent="0.25">
      <c r="A27" s="280"/>
      <c r="B27" s="280"/>
      <c r="C27" s="121"/>
      <c r="D27" s="113"/>
      <c r="E27" s="131"/>
      <c r="F27" s="131"/>
    </row>
    <row r="28" spans="1:12" x14ac:dyDescent="0.25">
      <c r="A28" s="280" t="s">
        <v>18</v>
      </c>
      <c r="B28" s="280"/>
      <c r="C28" s="121"/>
      <c r="D28" s="279" t="s">
        <v>20</v>
      </c>
      <c r="E28" s="279"/>
      <c r="F28" s="279"/>
    </row>
    <row r="29" spans="1:12" x14ac:dyDescent="0.25">
      <c r="A29" s="280"/>
      <c r="B29" s="280"/>
      <c r="C29" s="121"/>
      <c r="D29" s="113"/>
      <c r="E29" s="131"/>
      <c r="F29" s="131"/>
    </row>
    <row r="30" spans="1:12" x14ac:dyDescent="0.25">
      <c r="A30" s="280" t="s">
        <v>19</v>
      </c>
      <c r="B30" s="280"/>
      <c r="C30" s="121"/>
      <c r="D30" s="113"/>
      <c r="E30" s="131"/>
      <c r="F30" s="131"/>
    </row>
    <row r="31" spans="1:12" x14ac:dyDescent="0.25">
      <c r="A31" s="280"/>
      <c r="B31" s="280"/>
      <c r="C31" s="121"/>
      <c r="D31" s="113"/>
      <c r="E31" s="131"/>
      <c r="F31" s="131"/>
    </row>
    <row r="32" spans="1:12" x14ac:dyDescent="0.25">
      <c r="A32" s="280" t="s">
        <v>45</v>
      </c>
      <c r="B32" s="280"/>
      <c r="C32" s="121"/>
      <c r="D32" s="279" t="s">
        <v>88</v>
      </c>
      <c r="E32" s="279"/>
      <c r="F32" s="279"/>
    </row>
    <row r="35" spans="3:3" x14ac:dyDescent="0.25">
      <c r="C35" s="89"/>
    </row>
    <row r="37" spans="3:3" x14ac:dyDescent="0.25">
      <c r="C37" s="89"/>
    </row>
  </sheetData>
  <mergeCells count="29">
    <mergeCell ref="A31:B31"/>
    <mergeCell ref="A32:B32"/>
    <mergeCell ref="D32:F32"/>
    <mergeCell ref="C14:F14"/>
    <mergeCell ref="B13:B16"/>
    <mergeCell ref="A13:A16"/>
    <mergeCell ref="C15:F15"/>
    <mergeCell ref="C16:F16"/>
    <mergeCell ref="C17:F17"/>
    <mergeCell ref="C18:F18"/>
    <mergeCell ref="D26:F26"/>
    <mergeCell ref="A27:B27"/>
    <mergeCell ref="A28:B28"/>
    <mergeCell ref="D28:F28"/>
    <mergeCell ref="A29:B29"/>
    <mergeCell ref="A30:B30"/>
    <mergeCell ref="A21:F21"/>
    <mergeCell ref="A22:F22"/>
    <mergeCell ref="A23:F23"/>
    <mergeCell ref="A24:F24"/>
    <mergeCell ref="A10:F10"/>
    <mergeCell ref="A11:F11"/>
    <mergeCell ref="C13:F13"/>
    <mergeCell ref="A9:F9"/>
    <mergeCell ref="D1:F1"/>
    <mergeCell ref="D2:F2"/>
    <mergeCell ref="D4:F4"/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6"/>
  <sheetViews>
    <sheetView workbookViewId="0">
      <selection activeCell="E14" sqref="E14"/>
    </sheetView>
  </sheetViews>
  <sheetFormatPr defaultRowHeight="15" x14ac:dyDescent="0.25"/>
  <sheetData>
    <row r="1" spans="1:5" x14ac:dyDescent="0.25">
      <c r="A1" s="216" t="s">
        <v>116</v>
      </c>
      <c r="B1" s="216"/>
      <c r="C1" s="216"/>
    </row>
    <row r="3" spans="1:5" x14ac:dyDescent="0.25">
      <c r="A3" t="s">
        <v>117</v>
      </c>
    </row>
    <row r="4" spans="1:5" x14ac:dyDescent="0.25">
      <c r="A4" t="s">
        <v>118</v>
      </c>
      <c r="E4">
        <v>93000</v>
      </c>
    </row>
    <row r="5" spans="1:5" x14ac:dyDescent="0.25">
      <c r="A5" t="s">
        <v>119</v>
      </c>
      <c r="E5">
        <f>22000+7000+1200+1500+1000+3000+1200+10000</f>
        <v>46900</v>
      </c>
    </row>
    <row r="7" spans="1:5" x14ac:dyDescent="0.25">
      <c r="A7" t="s">
        <v>120</v>
      </c>
    </row>
    <row r="8" spans="1:5" x14ac:dyDescent="0.25">
      <c r="A8" t="s">
        <v>121</v>
      </c>
      <c r="E8">
        <v>4000</v>
      </c>
    </row>
    <row r="9" spans="1:5" x14ac:dyDescent="0.25">
      <c r="A9" t="s">
        <v>122</v>
      </c>
      <c r="E9">
        <v>8000</v>
      </c>
    </row>
    <row r="10" spans="1:5" x14ac:dyDescent="0.25">
      <c r="A10" t="s">
        <v>123</v>
      </c>
      <c r="E10">
        <v>7000</v>
      </c>
    </row>
    <row r="11" spans="1:5" x14ac:dyDescent="0.25">
      <c r="A11" t="s">
        <v>124</v>
      </c>
      <c r="E11">
        <v>5000</v>
      </c>
    </row>
    <row r="12" spans="1:5" x14ac:dyDescent="0.25">
      <c r="A12" t="s">
        <v>125</v>
      </c>
      <c r="E12">
        <f>3*3000</f>
        <v>9000</v>
      </c>
    </row>
    <row r="13" spans="1:5" x14ac:dyDescent="0.25">
      <c r="E13">
        <f>SUM(E4:E12)</f>
        <v>172900</v>
      </c>
    </row>
    <row r="14" spans="1:5" x14ac:dyDescent="0.25">
      <c r="E14">
        <f>E13/50</f>
        <v>3458</v>
      </c>
    </row>
    <row r="15" spans="1:5" x14ac:dyDescent="0.25">
      <c r="D15" s="217" t="s">
        <v>126</v>
      </c>
      <c r="E15" s="217">
        <v>340</v>
      </c>
    </row>
    <row r="16" spans="1:5" x14ac:dyDescent="0.25">
      <c r="E16">
        <f>E14/10</f>
        <v>345.8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52"/>
  <sheetViews>
    <sheetView view="pageBreakPreview" topLeftCell="A6" zoomScale="70" zoomScaleSheetLayoutView="70" workbookViewId="0">
      <selection activeCell="D17" sqref="D17"/>
    </sheetView>
  </sheetViews>
  <sheetFormatPr defaultColWidth="9.140625" defaultRowHeight="15" x14ac:dyDescent="0.25"/>
  <cols>
    <col min="1" max="1" width="5" style="21" customWidth="1"/>
    <col min="2" max="2" width="82" style="21" customWidth="1"/>
    <col min="3" max="3" width="13.28515625" style="22" customWidth="1"/>
    <col min="4" max="5" width="14.7109375" style="21" customWidth="1"/>
    <col min="6" max="6" width="14" style="21" customWidth="1"/>
    <col min="7" max="16384" width="9.140625" style="21"/>
  </cols>
  <sheetData>
    <row r="1" spans="1:5" x14ac:dyDescent="0.2">
      <c r="A1" s="16"/>
      <c r="B1" s="282" t="s">
        <v>16</v>
      </c>
      <c r="C1" s="282"/>
      <c r="D1" s="282"/>
      <c r="E1" s="225"/>
    </row>
    <row r="2" spans="1:5" ht="33" customHeight="1" x14ac:dyDescent="0.2">
      <c r="A2" s="31"/>
      <c r="B2" s="283" t="s">
        <v>46</v>
      </c>
      <c r="C2" s="283"/>
      <c r="D2" s="283"/>
      <c r="E2" s="226"/>
    </row>
    <row r="3" spans="1:5" x14ac:dyDescent="0.2">
      <c r="A3" s="18"/>
      <c r="B3" s="16"/>
      <c r="C3" s="193"/>
      <c r="D3" s="193"/>
      <c r="E3" s="233"/>
    </row>
    <row r="4" spans="1:5" x14ac:dyDescent="0.2">
      <c r="A4" s="16"/>
      <c r="B4" s="375" t="s">
        <v>58</v>
      </c>
      <c r="C4" s="375"/>
      <c r="D4" s="375"/>
      <c r="E4" s="233"/>
    </row>
    <row r="5" spans="1:5" ht="15.75" x14ac:dyDescent="0.25">
      <c r="A5" s="210"/>
      <c r="B5" s="210"/>
      <c r="C5" s="201"/>
      <c r="D5" s="201"/>
      <c r="E5" s="201"/>
    </row>
    <row r="6" spans="1:5" x14ac:dyDescent="0.25">
      <c r="A6" s="28"/>
      <c r="B6" s="28"/>
      <c r="C6" s="209"/>
      <c r="D6" s="28"/>
      <c r="E6" s="28"/>
    </row>
    <row r="7" spans="1:5" x14ac:dyDescent="0.25">
      <c r="A7" s="294" t="s">
        <v>129</v>
      </c>
      <c r="B7" s="294"/>
      <c r="C7" s="294"/>
      <c r="D7" s="294"/>
      <c r="E7" s="227"/>
    </row>
    <row r="8" spans="1:5" x14ac:dyDescent="0.25">
      <c r="A8" s="294" t="s">
        <v>47</v>
      </c>
      <c r="B8" s="294"/>
      <c r="C8" s="294"/>
      <c r="D8" s="294"/>
      <c r="E8" s="227"/>
    </row>
    <row r="9" spans="1:5" ht="18.75" customHeight="1" x14ac:dyDescent="0.25">
      <c r="A9" s="295" t="s">
        <v>62</v>
      </c>
      <c r="B9" s="295"/>
      <c r="C9" s="295"/>
      <c r="D9" s="295"/>
      <c r="E9" s="228"/>
    </row>
    <row r="10" spans="1:5" ht="15.75" customHeight="1" x14ac:dyDescent="0.25">
      <c r="A10" s="296" t="s">
        <v>28</v>
      </c>
      <c r="B10" s="296"/>
      <c r="C10" s="296"/>
      <c r="D10" s="296"/>
      <c r="E10" s="229"/>
    </row>
    <row r="11" spans="1:5" x14ac:dyDescent="0.25">
      <c r="A11" s="211"/>
      <c r="B11" s="211"/>
      <c r="C11" s="211"/>
      <c r="D11" s="211"/>
      <c r="E11" s="229"/>
    </row>
    <row r="12" spans="1:5" x14ac:dyDescent="0.25">
      <c r="A12" s="285" t="s">
        <v>127</v>
      </c>
      <c r="B12" s="285"/>
      <c r="C12" s="285"/>
      <c r="D12" s="285"/>
      <c r="E12" s="231"/>
    </row>
    <row r="13" spans="1:5" ht="18.75" customHeight="1" x14ac:dyDescent="0.25">
      <c r="A13" s="376" t="s">
        <v>5</v>
      </c>
      <c r="B13" s="377" t="s">
        <v>48</v>
      </c>
      <c r="C13" s="286" t="s">
        <v>32</v>
      </c>
      <c r="D13" s="297"/>
      <c r="E13" s="240"/>
    </row>
    <row r="14" spans="1:5" ht="17.25" customHeight="1" x14ac:dyDescent="0.25">
      <c r="A14" s="376"/>
      <c r="B14" s="377"/>
      <c r="C14" s="286" t="s">
        <v>116</v>
      </c>
      <c r="D14" s="297"/>
      <c r="E14" s="240"/>
    </row>
    <row r="15" spans="1:5" ht="40.5" customHeight="1" x14ac:dyDescent="0.25">
      <c r="A15" s="376"/>
      <c r="B15" s="377"/>
      <c r="C15" s="238" t="s">
        <v>128</v>
      </c>
      <c r="D15" s="238" t="s">
        <v>136</v>
      </c>
      <c r="E15" s="240"/>
    </row>
    <row r="16" spans="1:5" ht="18" customHeight="1" x14ac:dyDescent="0.25">
      <c r="A16" s="14">
        <v>1</v>
      </c>
      <c r="B16" s="14" t="s">
        <v>3</v>
      </c>
      <c r="C16" s="32"/>
      <c r="D16" s="32"/>
      <c r="E16" s="203"/>
    </row>
    <row r="17" spans="1:9" x14ac:dyDescent="0.25">
      <c r="A17" s="32"/>
      <c r="B17" s="32" t="s">
        <v>0</v>
      </c>
      <c r="C17" s="237">
        <f>F17*10+'расчет рожд заезд'!$E$15*10</f>
        <v>22900</v>
      </c>
      <c r="D17" s="237">
        <f>E17*6</f>
        <v>13740</v>
      </c>
      <c r="E17" s="232">
        <f>C17/10</f>
        <v>2290</v>
      </c>
      <c r="F17" s="218">
        <v>1950</v>
      </c>
      <c r="G17" s="223">
        <f>F17+180</f>
        <v>2130</v>
      </c>
      <c r="H17" s="239">
        <f>C17/10</f>
        <v>2290</v>
      </c>
      <c r="I17" s="223">
        <f>E17-F17</f>
        <v>340</v>
      </c>
    </row>
    <row r="18" spans="1:9" x14ac:dyDescent="0.25">
      <c r="A18" s="32"/>
      <c r="B18" s="32" t="s">
        <v>1</v>
      </c>
      <c r="C18" s="237">
        <f>F18*10+'расчет рожд заезд'!$E$15*10</f>
        <v>21300</v>
      </c>
      <c r="D18" s="237">
        <f t="shared" ref="D18:D43" si="0">E18*6</f>
        <v>12780</v>
      </c>
      <c r="E18" s="232">
        <f t="shared" ref="E18:E43" si="1">C18/10</f>
        <v>2130</v>
      </c>
      <c r="F18" s="218">
        <v>1790</v>
      </c>
      <c r="G18" s="223">
        <f t="shared" ref="G18:G43" si="2">F18+180</f>
        <v>1970</v>
      </c>
      <c r="H18" s="239">
        <f t="shared" ref="H18:H43" si="3">C18/10</f>
        <v>2130</v>
      </c>
      <c r="I18" s="223">
        <f t="shared" ref="I18:I43" si="4">E18-F18</f>
        <v>340</v>
      </c>
    </row>
    <row r="19" spans="1:9" x14ac:dyDescent="0.25">
      <c r="A19" s="32"/>
      <c r="B19" s="32" t="s">
        <v>2</v>
      </c>
      <c r="C19" s="237">
        <f>F19*10+'расчет рожд заезд'!$E$15*10</f>
        <v>44400</v>
      </c>
      <c r="D19" s="237">
        <f t="shared" si="0"/>
        <v>26640</v>
      </c>
      <c r="E19" s="232">
        <f t="shared" si="1"/>
        <v>4440</v>
      </c>
      <c r="F19" s="218">
        <v>4100</v>
      </c>
      <c r="G19" s="223">
        <f t="shared" si="2"/>
        <v>4280</v>
      </c>
      <c r="H19" s="239">
        <f t="shared" si="3"/>
        <v>4440</v>
      </c>
      <c r="I19" s="223">
        <f t="shared" si="4"/>
        <v>340</v>
      </c>
    </row>
    <row r="20" spans="1:9" x14ac:dyDescent="0.25">
      <c r="A20" s="37">
        <v>2</v>
      </c>
      <c r="B20" s="37" t="s">
        <v>6</v>
      </c>
      <c r="C20" s="237"/>
      <c r="D20" s="237"/>
      <c r="E20" s="232">
        <f t="shared" si="1"/>
        <v>0</v>
      </c>
      <c r="F20" s="218"/>
      <c r="G20" s="223">
        <f t="shared" si="2"/>
        <v>180</v>
      </c>
      <c r="H20" s="239">
        <f t="shared" si="3"/>
        <v>0</v>
      </c>
      <c r="I20" s="223">
        <f t="shared" si="4"/>
        <v>0</v>
      </c>
    </row>
    <row r="21" spans="1:9" x14ac:dyDescent="0.25">
      <c r="A21" s="32"/>
      <c r="B21" s="32" t="s">
        <v>0</v>
      </c>
      <c r="C21" s="237">
        <f>F21*10+'расчет рожд заезд'!$E$15*10</f>
        <v>24700</v>
      </c>
      <c r="D21" s="237">
        <f t="shared" si="0"/>
        <v>14820</v>
      </c>
      <c r="E21" s="232">
        <f t="shared" si="1"/>
        <v>2470</v>
      </c>
      <c r="F21" s="218">
        <v>2130</v>
      </c>
      <c r="G21" s="223">
        <f t="shared" si="2"/>
        <v>2310</v>
      </c>
      <c r="H21" s="239">
        <f t="shared" si="3"/>
        <v>2470</v>
      </c>
      <c r="I21" s="223">
        <f t="shared" si="4"/>
        <v>340</v>
      </c>
    </row>
    <row r="22" spans="1:9" x14ac:dyDescent="0.25">
      <c r="A22" s="32"/>
      <c r="B22" s="32" t="s">
        <v>1</v>
      </c>
      <c r="C22" s="237">
        <f>F22*10+'расчет рожд заезд'!$E$15*10</f>
        <v>23100</v>
      </c>
      <c r="D22" s="237">
        <f t="shared" si="0"/>
        <v>13860</v>
      </c>
      <c r="E22" s="232">
        <f t="shared" si="1"/>
        <v>2310</v>
      </c>
      <c r="F22" s="218">
        <v>1970</v>
      </c>
      <c r="G22" s="223">
        <f t="shared" si="2"/>
        <v>2150</v>
      </c>
      <c r="H22" s="239">
        <f t="shared" si="3"/>
        <v>2310</v>
      </c>
      <c r="I22" s="223">
        <f t="shared" si="4"/>
        <v>340</v>
      </c>
    </row>
    <row r="23" spans="1:9" x14ac:dyDescent="0.25">
      <c r="A23" s="32"/>
      <c r="B23" s="32" t="s">
        <v>2</v>
      </c>
      <c r="C23" s="237">
        <f>F23*10+'расчет рожд заезд'!$E$15*10</f>
        <v>46200</v>
      </c>
      <c r="D23" s="237">
        <f t="shared" si="0"/>
        <v>27720</v>
      </c>
      <c r="E23" s="232">
        <f t="shared" si="1"/>
        <v>4620</v>
      </c>
      <c r="F23" s="218">
        <v>4280</v>
      </c>
      <c r="G23" s="223">
        <f t="shared" si="2"/>
        <v>4460</v>
      </c>
      <c r="H23" s="239">
        <f t="shared" si="3"/>
        <v>4620</v>
      </c>
      <c r="I23" s="223">
        <f t="shared" si="4"/>
        <v>340</v>
      </c>
    </row>
    <row r="24" spans="1:9" x14ac:dyDescent="0.25">
      <c r="A24" s="37">
        <v>3</v>
      </c>
      <c r="B24" s="37" t="s">
        <v>7</v>
      </c>
      <c r="C24" s="237"/>
      <c r="D24" s="237"/>
      <c r="E24" s="232">
        <f t="shared" si="1"/>
        <v>0</v>
      </c>
      <c r="F24" s="218"/>
      <c r="G24" s="223">
        <f t="shared" si="2"/>
        <v>180</v>
      </c>
      <c r="H24" s="239">
        <f t="shared" si="3"/>
        <v>0</v>
      </c>
      <c r="I24" s="223">
        <f t="shared" si="4"/>
        <v>0</v>
      </c>
    </row>
    <row r="25" spans="1:9" x14ac:dyDescent="0.25">
      <c r="A25" s="32"/>
      <c r="B25" s="32" t="s">
        <v>0</v>
      </c>
      <c r="C25" s="237">
        <f>F25*10+'расчет рожд заезд'!$E$15*10</f>
        <v>26200</v>
      </c>
      <c r="D25" s="237">
        <f t="shared" si="0"/>
        <v>15720</v>
      </c>
      <c r="E25" s="232">
        <f t="shared" si="1"/>
        <v>2620</v>
      </c>
      <c r="F25" s="218">
        <v>2280</v>
      </c>
      <c r="G25" s="223">
        <f t="shared" si="2"/>
        <v>2460</v>
      </c>
      <c r="H25" s="239">
        <f t="shared" si="3"/>
        <v>2620</v>
      </c>
      <c r="I25" s="223">
        <f t="shared" si="4"/>
        <v>340</v>
      </c>
    </row>
    <row r="26" spans="1:9" x14ac:dyDescent="0.25">
      <c r="A26" s="32"/>
      <c r="B26" s="32" t="s">
        <v>1</v>
      </c>
      <c r="C26" s="237">
        <f>F26*10+'расчет рожд заезд'!$E$15*10</f>
        <v>24600</v>
      </c>
      <c r="D26" s="237">
        <f t="shared" si="0"/>
        <v>14760</v>
      </c>
      <c r="E26" s="232">
        <f t="shared" si="1"/>
        <v>2460</v>
      </c>
      <c r="F26" s="218">
        <f>'[1]расчет ст-ти пит'!$K$35</f>
        <v>2120</v>
      </c>
      <c r="G26" s="223">
        <f t="shared" si="2"/>
        <v>2300</v>
      </c>
      <c r="H26" s="239">
        <f t="shared" si="3"/>
        <v>2460</v>
      </c>
      <c r="I26" s="223">
        <f t="shared" si="4"/>
        <v>340</v>
      </c>
    </row>
    <row r="27" spans="1:9" x14ac:dyDescent="0.25">
      <c r="A27" s="32"/>
      <c r="B27" s="32" t="s">
        <v>2</v>
      </c>
      <c r="C27" s="237">
        <f>F27*10+'расчет рожд заезд'!$E$15*10</f>
        <v>47700</v>
      </c>
      <c r="D27" s="237">
        <f t="shared" si="0"/>
        <v>28620</v>
      </c>
      <c r="E27" s="232">
        <f t="shared" si="1"/>
        <v>4770</v>
      </c>
      <c r="F27" s="218">
        <v>4430</v>
      </c>
      <c r="G27" s="223">
        <f t="shared" si="2"/>
        <v>4610</v>
      </c>
      <c r="H27" s="239">
        <f t="shared" si="3"/>
        <v>4770</v>
      </c>
      <c r="I27" s="223">
        <f t="shared" si="4"/>
        <v>340</v>
      </c>
    </row>
    <row r="28" spans="1:9" x14ac:dyDescent="0.25">
      <c r="A28" s="37">
        <v>4</v>
      </c>
      <c r="B28" s="37" t="s">
        <v>8</v>
      </c>
      <c r="C28" s="237"/>
      <c r="D28" s="237"/>
      <c r="E28" s="232">
        <f t="shared" si="1"/>
        <v>0</v>
      </c>
      <c r="F28" s="218"/>
      <c r="G28" s="223">
        <f t="shared" si="2"/>
        <v>180</v>
      </c>
      <c r="H28" s="239">
        <f t="shared" si="3"/>
        <v>0</v>
      </c>
      <c r="I28" s="223">
        <f t="shared" si="4"/>
        <v>0</v>
      </c>
    </row>
    <row r="29" spans="1:9" x14ac:dyDescent="0.25">
      <c r="A29" s="37"/>
      <c r="B29" s="32" t="s">
        <v>9</v>
      </c>
      <c r="C29" s="237">
        <f>F29*10+'расчет рожд заезд'!$E$15*10</f>
        <v>17600</v>
      </c>
      <c r="D29" s="237">
        <f t="shared" si="0"/>
        <v>10560</v>
      </c>
      <c r="E29" s="232">
        <f t="shared" si="1"/>
        <v>1760</v>
      </c>
      <c r="F29" s="218">
        <v>1420</v>
      </c>
      <c r="G29" s="223">
        <f t="shared" si="2"/>
        <v>1600</v>
      </c>
      <c r="H29" s="239">
        <f t="shared" si="3"/>
        <v>1760</v>
      </c>
      <c r="I29" s="223">
        <f t="shared" si="4"/>
        <v>340</v>
      </c>
    </row>
    <row r="30" spans="1:9" x14ac:dyDescent="0.25">
      <c r="A30" s="37"/>
      <c r="B30" s="32" t="s">
        <v>10</v>
      </c>
      <c r="C30" s="237">
        <f>F30*10+'расчет рожд заезд'!$E$15*10</f>
        <v>19500</v>
      </c>
      <c r="D30" s="237">
        <f t="shared" si="0"/>
        <v>11700</v>
      </c>
      <c r="E30" s="232">
        <f t="shared" si="1"/>
        <v>1950</v>
      </c>
      <c r="F30" s="218">
        <v>1610</v>
      </c>
      <c r="G30" s="223">
        <f t="shared" si="2"/>
        <v>1790</v>
      </c>
      <c r="H30" s="239">
        <f t="shared" si="3"/>
        <v>1950</v>
      </c>
      <c r="I30" s="223">
        <f t="shared" si="4"/>
        <v>340</v>
      </c>
    </row>
    <row r="31" spans="1:9" x14ac:dyDescent="0.25">
      <c r="A31" s="37"/>
      <c r="B31" s="32" t="s">
        <v>11</v>
      </c>
      <c r="C31" s="237">
        <f>F31*10+'расчет рожд заезд'!$E$15*10</f>
        <v>20900</v>
      </c>
      <c r="D31" s="237">
        <f t="shared" si="0"/>
        <v>12540</v>
      </c>
      <c r="E31" s="232">
        <f t="shared" si="1"/>
        <v>2090</v>
      </c>
      <c r="F31" s="218">
        <v>1750</v>
      </c>
      <c r="G31" s="223">
        <f t="shared" si="2"/>
        <v>1930</v>
      </c>
      <c r="H31" s="239">
        <f t="shared" si="3"/>
        <v>2090</v>
      </c>
      <c r="I31" s="223">
        <f t="shared" si="4"/>
        <v>340</v>
      </c>
    </row>
    <row r="32" spans="1:9" x14ac:dyDescent="0.25">
      <c r="A32" s="37">
        <v>5</v>
      </c>
      <c r="B32" s="37" t="s">
        <v>35</v>
      </c>
      <c r="C32" s="237">
        <f>F32*10+'расчет рожд заезд'!$E$15*10</f>
        <v>15300</v>
      </c>
      <c r="D32" s="237">
        <f t="shared" si="0"/>
        <v>9180</v>
      </c>
      <c r="E32" s="232">
        <f t="shared" si="1"/>
        <v>1530</v>
      </c>
      <c r="F32" s="218">
        <v>1190</v>
      </c>
      <c r="G32" s="223">
        <f t="shared" si="2"/>
        <v>1370</v>
      </c>
      <c r="H32" s="239">
        <f t="shared" si="3"/>
        <v>1530</v>
      </c>
      <c r="I32" s="223">
        <f t="shared" si="4"/>
        <v>340</v>
      </c>
    </row>
    <row r="33" spans="1:10" ht="18" customHeight="1" x14ac:dyDescent="0.2">
      <c r="A33" s="196">
        <v>6</v>
      </c>
      <c r="B33" s="197" t="s">
        <v>12</v>
      </c>
      <c r="C33" s="237"/>
      <c r="D33" s="237"/>
      <c r="E33" s="232">
        <f t="shared" si="1"/>
        <v>0</v>
      </c>
      <c r="F33" s="234"/>
      <c r="G33" s="223">
        <f t="shared" si="2"/>
        <v>180</v>
      </c>
      <c r="H33" s="239">
        <f t="shared" si="3"/>
        <v>0</v>
      </c>
      <c r="I33" s="223">
        <f t="shared" si="4"/>
        <v>0</v>
      </c>
    </row>
    <row r="34" spans="1:10" x14ac:dyDescent="0.2">
      <c r="A34" s="194"/>
      <c r="B34" s="195" t="s">
        <v>1</v>
      </c>
      <c r="C34" s="237">
        <f>F34*10+'расчет рожд заезд'!$E$15*10*0.75</f>
        <v>15950</v>
      </c>
      <c r="D34" s="237">
        <f t="shared" si="0"/>
        <v>9570</v>
      </c>
      <c r="E34" s="232">
        <f t="shared" si="1"/>
        <v>1595</v>
      </c>
      <c r="F34" s="235">
        <v>1340</v>
      </c>
      <c r="G34" s="223">
        <f t="shared" si="2"/>
        <v>1520</v>
      </c>
      <c r="H34" s="239">
        <f t="shared" si="3"/>
        <v>1595</v>
      </c>
      <c r="I34" s="223">
        <f t="shared" si="4"/>
        <v>255</v>
      </c>
      <c r="J34" s="21">
        <f>I32*0.75</f>
        <v>255</v>
      </c>
    </row>
    <row r="35" spans="1:10" x14ac:dyDescent="0.2">
      <c r="A35" s="196">
        <v>7</v>
      </c>
      <c r="B35" s="197" t="s">
        <v>13</v>
      </c>
      <c r="C35" s="237"/>
      <c r="D35" s="237"/>
      <c r="E35" s="232">
        <f t="shared" si="1"/>
        <v>0</v>
      </c>
      <c r="F35" s="236"/>
      <c r="G35" s="223">
        <f t="shared" si="2"/>
        <v>180</v>
      </c>
      <c r="H35" s="239">
        <f t="shared" si="3"/>
        <v>0</v>
      </c>
      <c r="I35" s="223">
        <f t="shared" si="4"/>
        <v>0</v>
      </c>
    </row>
    <row r="36" spans="1:10" ht="15" customHeight="1" x14ac:dyDescent="0.2">
      <c r="A36" s="194"/>
      <c r="B36" s="195" t="s">
        <v>1</v>
      </c>
      <c r="C36" s="237">
        <f>F36*10+'расчет рожд заезд'!$E$15*10*0.75</f>
        <v>17350</v>
      </c>
      <c r="D36" s="237">
        <f t="shared" si="0"/>
        <v>10410</v>
      </c>
      <c r="E36" s="232">
        <f t="shared" si="1"/>
        <v>1735</v>
      </c>
      <c r="F36" s="235">
        <v>1480</v>
      </c>
      <c r="G36" s="223">
        <f t="shared" si="2"/>
        <v>1660</v>
      </c>
      <c r="H36" s="239">
        <f t="shared" si="3"/>
        <v>1735</v>
      </c>
      <c r="I36" s="223">
        <f t="shared" si="4"/>
        <v>255</v>
      </c>
    </row>
    <row r="37" spans="1:10" x14ac:dyDescent="0.2">
      <c r="A37" s="196">
        <v>8</v>
      </c>
      <c r="B37" s="197" t="s">
        <v>14</v>
      </c>
      <c r="C37" s="237"/>
      <c r="D37" s="237"/>
      <c r="E37" s="232">
        <f t="shared" si="1"/>
        <v>0</v>
      </c>
      <c r="F37" s="236"/>
      <c r="G37" s="223">
        <f t="shared" si="2"/>
        <v>180</v>
      </c>
      <c r="H37" s="239">
        <f t="shared" si="3"/>
        <v>0</v>
      </c>
      <c r="I37" s="223">
        <f t="shared" si="4"/>
        <v>0</v>
      </c>
    </row>
    <row r="38" spans="1:10" x14ac:dyDescent="0.2">
      <c r="A38" s="194"/>
      <c r="B38" s="195" t="s">
        <v>1</v>
      </c>
      <c r="C38" s="237">
        <f>F38*10+'расчет рожд заезд'!$E$15*10*0.75</f>
        <v>18450</v>
      </c>
      <c r="D38" s="237">
        <f t="shared" si="0"/>
        <v>11070</v>
      </c>
      <c r="E38" s="232">
        <f t="shared" si="1"/>
        <v>1845</v>
      </c>
      <c r="F38" s="235">
        <v>1590</v>
      </c>
      <c r="G38" s="223">
        <f t="shared" si="2"/>
        <v>1770</v>
      </c>
      <c r="H38" s="239">
        <f t="shared" si="3"/>
        <v>1845</v>
      </c>
      <c r="I38" s="223">
        <f t="shared" si="4"/>
        <v>255</v>
      </c>
    </row>
    <row r="39" spans="1:10" x14ac:dyDescent="0.2">
      <c r="A39" s="196">
        <v>9</v>
      </c>
      <c r="B39" s="197" t="s">
        <v>89</v>
      </c>
      <c r="C39" s="237"/>
      <c r="D39" s="237"/>
      <c r="E39" s="232">
        <f t="shared" si="1"/>
        <v>0</v>
      </c>
      <c r="F39" s="236"/>
      <c r="G39" s="223">
        <f t="shared" si="2"/>
        <v>180</v>
      </c>
      <c r="H39" s="239">
        <f t="shared" si="3"/>
        <v>0</v>
      </c>
      <c r="I39" s="223">
        <f t="shared" si="4"/>
        <v>0</v>
      </c>
    </row>
    <row r="40" spans="1:10" x14ac:dyDescent="0.2">
      <c r="A40" s="194"/>
      <c r="B40" s="195" t="s">
        <v>9</v>
      </c>
      <c r="C40" s="237">
        <f>F40*10+'расчет рожд заезд'!$E$15*10*0.75</f>
        <v>13250</v>
      </c>
      <c r="D40" s="237">
        <f t="shared" si="0"/>
        <v>7950</v>
      </c>
      <c r="E40" s="232">
        <f t="shared" si="1"/>
        <v>1325</v>
      </c>
      <c r="F40" s="235">
        <v>1070</v>
      </c>
      <c r="G40" s="223">
        <f t="shared" si="2"/>
        <v>1250</v>
      </c>
      <c r="H40" s="239">
        <f t="shared" si="3"/>
        <v>1325</v>
      </c>
      <c r="I40" s="223">
        <f t="shared" si="4"/>
        <v>255</v>
      </c>
    </row>
    <row r="41" spans="1:10" x14ac:dyDescent="0.2">
      <c r="A41" s="194"/>
      <c r="B41" s="195" t="s">
        <v>10</v>
      </c>
      <c r="C41" s="237">
        <f>F41*10+'расчет рожд заезд'!$E$15*10*0.75</f>
        <v>14550</v>
      </c>
      <c r="D41" s="237">
        <f t="shared" si="0"/>
        <v>8730</v>
      </c>
      <c r="E41" s="232">
        <f t="shared" si="1"/>
        <v>1455</v>
      </c>
      <c r="F41" s="235">
        <v>1200</v>
      </c>
      <c r="G41" s="223">
        <f t="shared" si="2"/>
        <v>1380</v>
      </c>
      <c r="H41" s="239">
        <f t="shared" si="3"/>
        <v>1455</v>
      </c>
      <c r="I41" s="223">
        <f t="shared" si="4"/>
        <v>255</v>
      </c>
    </row>
    <row r="42" spans="1:10" x14ac:dyDescent="0.2">
      <c r="A42" s="194"/>
      <c r="B42" s="195" t="s">
        <v>11</v>
      </c>
      <c r="C42" s="237">
        <f>F42*10+'расчет рожд заезд'!$E$15*10*0.75</f>
        <v>15650</v>
      </c>
      <c r="D42" s="237">
        <f t="shared" si="0"/>
        <v>9390</v>
      </c>
      <c r="E42" s="232">
        <f t="shared" si="1"/>
        <v>1565</v>
      </c>
      <c r="F42" s="235">
        <v>1310</v>
      </c>
      <c r="G42" s="223">
        <f t="shared" si="2"/>
        <v>1490</v>
      </c>
      <c r="H42" s="239">
        <f t="shared" si="3"/>
        <v>1565</v>
      </c>
      <c r="I42" s="223">
        <f t="shared" si="4"/>
        <v>255</v>
      </c>
    </row>
    <row r="43" spans="1:10" x14ac:dyDescent="0.2">
      <c r="A43" s="196">
        <v>10</v>
      </c>
      <c r="B43" s="65" t="s">
        <v>112</v>
      </c>
      <c r="C43" s="237">
        <f>F43*10+'расчет рожд заезд'!$E$15*10*0.75</f>
        <v>11450</v>
      </c>
      <c r="D43" s="237">
        <f t="shared" si="0"/>
        <v>6870</v>
      </c>
      <c r="E43" s="232">
        <f t="shared" si="1"/>
        <v>1145</v>
      </c>
      <c r="F43" s="235">
        <v>890</v>
      </c>
      <c r="G43" s="223">
        <f t="shared" si="2"/>
        <v>1070</v>
      </c>
      <c r="H43" s="239">
        <f t="shared" si="3"/>
        <v>1145</v>
      </c>
      <c r="I43" s="223">
        <f t="shared" si="4"/>
        <v>255</v>
      </c>
    </row>
    <row r="44" spans="1:10" x14ac:dyDescent="0.2">
      <c r="A44" s="205"/>
      <c r="B44" s="206"/>
      <c r="C44" s="207"/>
      <c r="D44" s="207"/>
      <c r="E44" s="207"/>
    </row>
    <row r="45" spans="1:10" x14ac:dyDescent="0.25">
      <c r="A45" s="28"/>
      <c r="B45" s="28"/>
      <c r="C45" s="209"/>
      <c r="D45" s="28"/>
      <c r="E45" s="28"/>
    </row>
    <row r="46" spans="1:10" x14ac:dyDescent="0.25">
      <c r="A46" s="300" t="s">
        <v>55</v>
      </c>
      <c r="B46" s="300"/>
      <c r="C46" s="299" t="s">
        <v>69</v>
      </c>
      <c r="D46" s="299"/>
      <c r="E46" s="224"/>
    </row>
    <row r="47" spans="1:10" x14ac:dyDescent="0.2">
      <c r="A47" s="298"/>
      <c r="B47" s="298"/>
      <c r="C47" s="25"/>
      <c r="D47" s="30"/>
      <c r="E47" s="30"/>
    </row>
    <row r="48" spans="1:10" x14ac:dyDescent="0.2">
      <c r="A48" s="298" t="s">
        <v>18</v>
      </c>
      <c r="B48" s="298"/>
      <c r="C48" s="299" t="s">
        <v>20</v>
      </c>
      <c r="D48" s="299"/>
      <c r="E48" s="224"/>
    </row>
    <row r="49" spans="1:5" x14ac:dyDescent="0.2">
      <c r="A49" s="298"/>
      <c r="B49" s="298"/>
      <c r="C49" s="25"/>
      <c r="D49" s="30"/>
      <c r="E49" s="30"/>
    </row>
    <row r="50" spans="1:5" x14ac:dyDescent="0.2">
      <c r="A50" s="298" t="s">
        <v>19</v>
      </c>
      <c r="B50" s="298"/>
      <c r="C50" s="25"/>
      <c r="D50" s="30"/>
      <c r="E50" s="30"/>
    </row>
    <row r="51" spans="1:5" x14ac:dyDescent="0.2">
      <c r="A51" s="298"/>
      <c r="B51" s="298"/>
      <c r="C51" s="25"/>
      <c r="D51" s="30"/>
      <c r="E51" s="30"/>
    </row>
    <row r="52" spans="1:5" x14ac:dyDescent="0.2">
      <c r="A52" s="298" t="s">
        <v>130</v>
      </c>
      <c r="B52" s="298"/>
      <c r="C52" s="299" t="s">
        <v>88</v>
      </c>
      <c r="D52" s="299"/>
      <c r="E52" s="224"/>
    </row>
  </sheetData>
  <mergeCells count="22">
    <mergeCell ref="A50:B50"/>
    <mergeCell ref="A51:B51"/>
    <mergeCell ref="A52:B52"/>
    <mergeCell ref="C52:D52"/>
    <mergeCell ref="A46:B46"/>
    <mergeCell ref="C46:D46"/>
    <mergeCell ref="A47:B47"/>
    <mergeCell ref="A48:B48"/>
    <mergeCell ref="C48:D48"/>
    <mergeCell ref="A49:B49"/>
    <mergeCell ref="A10:D10"/>
    <mergeCell ref="A13:A15"/>
    <mergeCell ref="B13:B15"/>
    <mergeCell ref="C13:D13"/>
    <mergeCell ref="C14:D14"/>
    <mergeCell ref="A12:D12"/>
    <mergeCell ref="A7:D7"/>
    <mergeCell ref="A8:D8"/>
    <mergeCell ref="A9:D9"/>
    <mergeCell ref="B1:D1"/>
    <mergeCell ref="B2:D2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R80"/>
  <sheetViews>
    <sheetView tabSelected="1" view="pageBreakPreview" topLeftCell="A37" zoomScale="70" zoomScaleSheetLayoutView="70" workbookViewId="0">
      <selection activeCell="E48" sqref="E48:H48"/>
    </sheetView>
  </sheetViews>
  <sheetFormatPr defaultColWidth="9.140625" defaultRowHeight="15" x14ac:dyDescent="0.25"/>
  <cols>
    <col min="1" max="1" width="4.5703125" style="39" customWidth="1"/>
    <col min="2" max="2" width="75" style="39" customWidth="1"/>
    <col min="3" max="3" width="11" style="39" hidden="1" customWidth="1"/>
    <col min="4" max="4" width="12" style="39" hidden="1" customWidth="1"/>
    <col min="5" max="5" width="15.42578125" style="39" bestFit="1" customWidth="1"/>
    <col min="6" max="6" width="15.85546875" style="39" bestFit="1" customWidth="1"/>
    <col min="7" max="7" width="15.42578125" style="60" bestFit="1" customWidth="1"/>
    <col min="8" max="8" width="15.28515625" style="60" customWidth="1"/>
    <col min="9" max="9" width="0" style="39" hidden="1" customWidth="1"/>
    <col min="10" max="10" width="9.85546875" style="39" hidden="1" customWidth="1"/>
    <col min="11" max="12" width="0" style="39" hidden="1" customWidth="1"/>
    <col min="13" max="13" width="10.5703125" style="39" hidden="1" customWidth="1"/>
    <col min="14" max="14" width="9" style="39" hidden="1" customWidth="1"/>
    <col min="15" max="15" width="10.5703125" style="39" hidden="1" customWidth="1"/>
    <col min="16" max="18" width="9.140625" style="39" hidden="1" customWidth="1"/>
    <col min="19" max="19" width="13.42578125" style="39" customWidth="1"/>
    <col min="20" max="16384" width="9.140625" style="39"/>
  </cols>
  <sheetData>
    <row r="2" spans="1:18" ht="22.5" customHeight="1" x14ac:dyDescent="0.25">
      <c r="A2" s="381" t="s">
        <v>17</v>
      </c>
      <c r="B2" s="381"/>
      <c r="C2" s="381"/>
      <c r="D2" s="381"/>
      <c r="E2" s="381"/>
      <c r="F2" s="381"/>
      <c r="G2" s="381"/>
      <c r="H2" s="381"/>
      <c r="I2" s="38"/>
      <c r="J2" s="38"/>
    </row>
    <row r="3" spans="1:18" ht="22.5" customHeight="1" x14ac:dyDescent="0.25">
      <c r="A3" s="381" t="s">
        <v>47</v>
      </c>
      <c r="B3" s="381"/>
      <c r="C3" s="381"/>
      <c r="D3" s="381"/>
      <c r="E3" s="381"/>
      <c r="F3" s="381"/>
      <c r="G3" s="381"/>
      <c r="H3" s="381"/>
      <c r="I3" s="38"/>
      <c r="J3" s="38"/>
    </row>
    <row r="4" spans="1:18" ht="23.25" customHeight="1" x14ac:dyDescent="0.25">
      <c r="A4" s="382" t="s">
        <v>131</v>
      </c>
      <c r="B4" s="382"/>
      <c r="C4" s="382"/>
      <c r="D4" s="382"/>
      <c r="E4" s="382"/>
      <c r="F4" s="382"/>
      <c r="G4" s="382"/>
      <c r="H4" s="382"/>
      <c r="I4" s="38"/>
      <c r="J4" s="38"/>
    </row>
    <row r="5" spans="1:18" ht="16.5" customHeight="1" x14ac:dyDescent="0.25">
      <c r="A5" s="309"/>
      <c r="B5" s="309"/>
      <c r="C5" s="309"/>
      <c r="D5" s="309"/>
      <c r="E5" s="309"/>
      <c r="F5" s="309"/>
      <c r="G5" s="309"/>
      <c r="H5" s="309"/>
      <c r="I5" s="38"/>
      <c r="J5" s="38"/>
    </row>
    <row r="6" spans="1:18" ht="18" x14ac:dyDescent="0.25">
      <c r="A6" s="383" t="s">
        <v>127</v>
      </c>
      <c r="B6" s="383"/>
      <c r="C6" s="383"/>
      <c r="D6" s="383"/>
      <c r="E6" s="383"/>
      <c r="F6" s="383"/>
      <c r="G6" s="383"/>
      <c r="H6" s="383"/>
      <c r="I6" s="38"/>
      <c r="J6" s="38"/>
    </row>
    <row r="7" spans="1:18" ht="15.75" thickBot="1" x14ac:dyDescent="0.3">
      <c r="A7" s="212"/>
      <c r="B7" s="212"/>
      <c r="C7" s="230"/>
      <c r="D7" s="230"/>
      <c r="E7" s="230"/>
      <c r="F7" s="230"/>
      <c r="G7" s="241"/>
      <c r="H7" s="241"/>
      <c r="I7" s="38"/>
      <c r="J7" s="38"/>
    </row>
    <row r="8" spans="1:18" ht="18.75" customHeight="1" x14ac:dyDescent="0.25">
      <c r="A8" s="384" t="s">
        <v>5</v>
      </c>
      <c r="B8" s="387" t="s">
        <v>48</v>
      </c>
      <c r="C8" s="379"/>
      <c r="D8" s="380"/>
      <c r="E8" s="392" t="s">
        <v>32</v>
      </c>
      <c r="F8" s="392"/>
      <c r="G8" s="392"/>
      <c r="H8" s="393"/>
      <c r="I8" s="38"/>
      <c r="J8" s="38"/>
    </row>
    <row r="9" spans="1:18" ht="29.25" customHeight="1" x14ac:dyDescent="0.25">
      <c r="A9" s="385"/>
      <c r="B9" s="388"/>
      <c r="C9" s="378" t="s">
        <v>134</v>
      </c>
      <c r="D9" s="378"/>
      <c r="E9" s="378" t="s">
        <v>135</v>
      </c>
      <c r="F9" s="378"/>
      <c r="G9" s="390" t="s">
        <v>132</v>
      </c>
      <c r="H9" s="391"/>
      <c r="I9" s="38"/>
      <c r="J9" s="38"/>
    </row>
    <row r="10" spans="1:18" ht="55.5" customHeight="1" x14ac:dyDescent="0.25">
      <c r="A10" s="386"/>
      <c r="B10" s="389"/>
      <c r="C10" s="243" t="s">
        <v>50</v>
      </c>
      <c r="D10" s="243" t="s">
        <v>51</v>
      </c>
      <c r="E10" s="244" t="s">
        <v>50</v>
      </c>
      <c r="F10" s="244" t="s">
        <v>51</v>
      </c>
      <c r="G10" s="244" t="s">
        <v>50</v>
      </c>
      <c r="H10" s="256" t="s">
        <v>51</v>
      </c>
      <c r="I10" s="47" t="s">
        <v>42</v>
      </c>
      <c r="J10" s="48" t="s">
        <v>43</v>
      </c>
    </row>
    <row r="11" spans="1:18" ht="16.5" customHeight="1" x14ac:dyDescent="0.25">
      <c r="A11" s="421" t="s">
        <v>114</v>
      </c>
      <c r="B11" s="422"/>
      <c r="C11" s="422"/>
      <c r="D11" s="422"/>
      <c r="E11" s="422"/>
      <c r="F11" s="422"/>
      <c r="G11" s="422"/>
      <c r="H11" s="423"/>
      <c r="I11" s="254"/>
      <c r="J11" s="15"/>
    </row>
    <row r="12" spans="1:18" ht="18" x14ac:dyDescent="0.25">
      <c r="A12" s="404">
        <v>1</v>
      </c>
      <c r="B12" s="405" t="s">
        <v>3</v>
      </c>
      <c r="C12" s="405"/>
      <c r="D12" s="405"/>
      <c r="E12" s="405"/>
      <c r="F12" s="405"/>
      <c r="G12" s="406"/>
      <c r="H12" s="407"/>
      <c r="I12" s="254"/>
      <c r="J12" s="15"/>
    </row>
    <row r="13" spans="1:18" ht="18" x14ac:dyDescent="0.25">
      <c r="A13" s="258"/>
      <c r="B13" s="246" t="s">
        <v>0</v>
      </c>
      <c r="C13" s="245">
        <f>G13/10</f>
        <v>458</v>
      </c>
      <c r="D13" s="245">
        <f>H13/10</f>
        <v>481</v>
      </c>
      <c r="E13" s="245">
        <f>C13*6</f>
        <v>2748</v>
      </c>
      <c r="F13" s="245">
        <f>D13*6</f>
        <v>2886</v>
      </c>
      <c r="G13" s="245">
        <f>M13*10+'расчет рожд заезд'!$E$15*10*0.2</f>
        <v>4580</v>
      </c>
      <c r="H13" s="257">
        <f>N13*10+'расчет рожд заезд'!$E$15*10*0.2</f>
        <v>4810</v>
      </c>
      <c r="I13" s="242">
        <v>7444.2119045745558</v>
      </c>
      <c r="J13" s="49">
        <f>(G13/I13-1)*100</f>
        <v>-38.475690123953399</v>
      </c>
      <c r="K13" s="50">
        <f>I13*1.05</f>
        <v>7816.4224998032842</v>
      </c>
      <c r="L13" s="51">
        <f t="shared" ref="L13:L29" si="0">G13-K13</f>
        <v>-3236.4224998032842</v>
      </c>
      <c r="M13" s="61">
        <v>390</v>
      </c>
      <c r="N13" s="61">
        <v>413</v>
      </c>
      <c r="O13" s="61">
        <f>H13-G13</f>
        <v>230</v>
      </c>
      <c r="P13" s="52">
        <v>21300</v>
      </c>
      <c r="Q13" s="39">
        <f>P13*0.2</f>
        <v>4260</v>
      </c>
      <c r="R13" s="52">
        <f>F13-E13</f>
        <v>138</v>
      </c>
    </row>
    <row r="14" spans="1:18" ht="18" x14ac:dyDescent="0.25">
      <c r="A14" s="258"/>
      <c r="B14" s="246" t="s">
        <v>1</v>
      </c>
      <c r="C14" s="245">
        <f t="shared" ref="C14:C15" si="1">G14/10</f>
        <v>426</v>
      </c>
      <c r="D14" s="245">
        <f t="shared" ref="D14:D15" si="2">H14/10</f>
        <v>449</v>
      </c>
      <c r="E14" s="245">
        <f t="shared" ref="E14:E15" si="3">C14*6</f>
        <v>2556</v>
      </c>
      <c r="F14" s="245">
        <f t="shared" ref="F14:F15" si="4">D14*6</f>
        <v>2694</v>
      </c>
      <c r="G14" s="245">
        <f>M14*10+'расчет рожд заезд'!$E$15*10*0.2</f>
        <v>4260</v>
      </c>
      <c r="H14" s="257">
        <f>N14*10+'расчет рожд заезд'!$E$15*10*0.2</f>
        <v>4490</v>
      </c>
      <c r="I14" s="242">
        <v>6807.5046546729136</v>
      </c>
      <c r="J14" s="49">
        <f>(G14/I14-1)*100</f>
        <v>-37.422003860463263</v>
      </c>
      <c r="K14" s="50">
        <f t="shared" ref="K14:K63" si="5">I14*1.05</f>
        <v>7147.8798874065596</v>
      </c>
      <c r="L14" s="51">
        <f t="shared" si="0"/>
        <v>-2887.8798874065596</v>
      </c>
      <c r="M14" s="61">
        <v>358</v>
      </c>
      <c r="N14" s="61">
        <v>381</v>
      </c>
      <c r="O14" s="61">
        <f t="shared" ref="O14:O79" si="6">H14-G14</f>
        <v>230</v>
      </c>
      <c r="P14" s="39">
        <v>19700</v>
      </c>
      <c r="Q14" s="39">
        <f t="shared" ref="Q14:Q48" si="7">P14*0.2</f>
        <v>3940</v>
      </c>
      <c r="R14" s="52">
        <f t="shared" ref="R14:R79" si="8">F14-E14</f>
        <v>138</v>
      </c>
    </row>
    <row r="15" spans="1:18" ht="18" x14ac:dyDescent="0.25">
      <c r="A15" s="258"/>
      <c r="B15" s="246" t="s">
        <v>2</v>
      </c>
      <c r="C15" s="245">
        <f t="shared" si="1"/>
        <v>888</v>
      </c>
      <c r="D15" s="245">
        <f t="shared" si="2"/>
        <v>911</v>
      </c>
      <c r="E15" s="245">
        <f t="shared" si="3"/>
        <v>5328</v>
      </c>
      <c r="F15" s="245">
        <f t="shared" si="4"/>
        <v>5466</v>
      </c>
      <c r="G15" s="245">
        <f>M15*10+'расчет рожд заезд'!$E$15*10*0.2</f>
        <v>8880</v>
      </c>
      <c r="H15" s="257">
        <f>N15*10+'расчет рожд заезд'!$E$15*10*0.2</f>
        <v>9110</v>
      </c>
      <c r="I15" s="242">
        <v>10421.77678529275</v>
      </c>
      <c r="J15" s="49">
        <f>(G15/I15-1)*100</f>
        <v>-14.79379972394449</v>
      </c>
      <c r="K15" s="50">
        <f t="shared" si="5"/>
        <v>10942.865624557387</v>
      </c>
      <c r="L15" s="51">
        <f t="shared" si="0"/>
        <v>-2062.8656245573875</v>
      </c>
      <c r="M15" s="61">
        <v>820</v>
      </c>
      <c r="N15" s="61">
        <v>843</v>
      </c>
      <c r="O15" s="61">
        <f t="shared" si="6"/>
        <v>230</v>
      </c>
      <c r="P15" s="39">
        <v>42800</v>
      </c>
      <c r="Q15" s="39">
        <f t="shared" si="7"/>
        <v>8560</v>
      </c>
      <c r="R15" s="52">
        <f t="shared" si="8"/>
        <v>138</v>
      </c>
    </row>
    <row r="16" spans="1:18" ht="18" x14ac:dyDescent="0.25">
      <c r="A16" s="258"/>
      <c r="B16" s="246"/>
      <c r="C16" s="245"/>
      <c r="D16" s="245"/>
      <c r="E16" s="245"/>
      <c r="F16" s="245"/>
      <c r="G16" s="245"/>
      <c r="H16" s="257"/>
      <c r="I16" s="242"/>
      <c r="J16" s="49"/>
      <c r="K16" s="50"/>
      <c r="L16" s="51"/>
      <c r="M16" s="61"/>
      <c r="N16" s="61"/>
      <c r="O16" s="61"/>
      <c r="R16" s="52"/>
    </row>
    <row r="17" spans="1:18" ht="18" x14ac:dyDescent="0.25">
      <c r="A17" s="408">
        <v>2</v>
      </c>
      <c r="B17" s="409" t="s">
        <v>6</v>
      </c>
      <c r="C17" s="409"/>
      <c r="D17" s="409"/>
      <c r="E17" s="409"/>
      <c r="F17" s="409"/>
      <c r="G17" s="406"/>
      <c r="H17" s="407"/>
      <c r="I17" s="242"/>
      <c r="J17" s="49"/>
      <c r="K17" s="50">
        <f t="shared" si="5"/>
        <v>0</v>
      </c>
      <c r="L17" s="51">
        <f t="shared" si="0"/>
        <v>0</v>
      </c>
      <c r="M17" s="61"/>
      <c r="N17" s="61"/>
      <c r="O17" s="61">
        <f t="shared" si="6"/>
        <v>0</v>
      </c>
      <c r="R17" s="52">
        <f t="shared" si="8"/>
        <v>0</v>
      </c>
    </row>
    <row r="18" spans="1:18" ht="18" x14ac:dyDescent="0.25">
      <c r="A18" s="258"/>
      <c r="B18" s="246" t="s">
        <v>0</v>
      </c>
      <c r="C18" s="245">
        <f>G18/10</f>
        <v>494</v>
      </c>
      <c r="D18" s="245">
        <f>H18/10</f>
        <v>517</v>
      </c>
      <c r="E18" s="245">
        <f>C18*6</f>
        <v>2964</v>
      </c>
      <c r="F18" s="245">
        <f>D18*6</f>
        <v>3102</v>
      </c>
      <c r="G18" s="245">
        <f>M18*10+'расчет рожд заезд'!$E$15*10*0.2</f>
        <v>4940</v>
      </c>
      <c r="H18" s="257">
        <f>N18*10+'расчет рожд заезд'!$E$15*10*0.2</f>
        <v>5170</v>
      </c>
      <c r="I18" s="242">
        <v>8149.5399045745562</v>
      </c>
      <c r="J18" s="49">
        <f>(G18/I18-1)*100</f>
        <v>-39.383081034709157</v>
      </c>
      <c r="K18" s="50">
        <f t="shared" si="5"/>
        <v>8557.0168998032841</v>
      </c>
      <c r="L18" s="51">
        <f t="shared" si="0"/>
        <v>-3617.0168998032841</v>
      </c>
      <c r="M18" s="61">
        <v>426</v>
      </c>
      <c r="N18" s="61">
        <v>449</v>
      </c>
      <c r="O18" s="61">
        <f t="shared" si="6"/>
        <v>230</v>
      </c>
      <c r="P18" s="39">
        <v>23100</v>
      </c>
      <c r="Q18" s="39">
        <f t="shared" si="7"/>
        <v>4620</v>
      </c>
      <c r="R18" s="52">
        <f t="shared" si="8"/>
        <v>138</v>
      </c>
    </row>
    <row r="19" spans="1:18" ht="18" x14ac:dyDescent="0.25">
      <c r="A19" s="258"/>
      <c r="B19" s="246" t="s">
        <v>1</v>
      </c>
      <c r="C19" s="245">
        <f t="shared" ref="C19:C20" si="9">G19/10</f>
        <v>462</v>
      </c>
      <c r="D19" s="245">
        <f t="shared" ref="D19:D20" si="10">H19/10</f>
        <v>485</v>
      </c>
      <c r="E19" s="245">
        <f t="shared" ref="E19:E20" si="11">C19*6</f>
        <v>2772</v>
      </c>
      <c r="F19" s="245">
        <f t="shared" ref="F19:F20" si="12">D19*6</f>
        <v>2910</v>
      </c>
      <c r="G19" s="245">
        <f>M19*10+'расчет рожд заезд'!$E$15*10*0.2</f>
        <v>4620</v>
      </c>
      <c r="H19" s="257">
        <f>N19*10+'расчет рожд заезд'!$E$15*10*0.2</f>
        <v>4850</v>
      </c>
      <c r="I19" s="242">
        <v>7512.832654672914</v>
      </c>
      <c r="J19" s="49">
        <f>(G19/I19-1)*100</f>
        <v>-38.505218838777125</v>
      </c>
      <c r="K19" s="50">
        <f t="shared" si="5"/>
        <v>7888.4742874065605</v>
      </c>
      <c r="L19" s="51">
        <f t="shared" si="0"/>
        <v>-3268.4742874065605</v>
      </c>
      <c r="M19" s="61">
        <v>394</v>
      </c>
      <c r="N19" s="61">
        <v>417</v>
      </c>
      <c r="O19" s="61">
        <f t="shared" si="6"/>
        <v>230</v>
      </c>
      <c r="P19" s="39">
        <v>21500</v>
      </c>
      <c r="Q19" s="39">
        <f t="shared" si="7"/>
        <v>4300</v>
      </c>
      <c r="R19" s="52">
        <f t="shared" si="8"/>
        <v>138</v>
      </c>
    </row>
    <row r="20" spans="1:18" ht="18" x14ac:dyDescent="0.25">
      <c r="A20" s="258"/>
      <c r="B20" s="246" t="s">
        <v>2</v>
      </c>
      <c r="C20" s="245">
        <f t="shared" si="9"/>
        <v>924</v>
      </c>
      <c r="D20" s="245">
        <f t="shared" si="10"/>
        <v>947</v>
      </c>
      <c r="E20" s="245">
        <f t="shared" si="11"/>
        <v>5544</v>
      </c>
      <c r="F20" s="245">
        <f t="shared" si="12"/>
        <v>5682</v>
      </c>
      <c r="G20" s="245">
        <f>M20*10+'расчет рожд заезд'!$E$15*10*0.2</f>
        <v>9240</v>
      </c>
      <c r="H20" s="257">
        <f>N20*10+'расчет рожд заезд'!$E$15*10*0.2</f>
        <v>9470</v>
      </c>
      <c r="I20" s="242">
        <v>11127.10478529275</v>
      </c>
      <c r="J20" s="49">
        <f>(G20/I20-1)*100</f>
        <v>-16.959530998459094</v>
      </c>
      <c r="K20" s="50">
        <f t="shared" si="5"/>
        <v>11683.460024557387</v>
      </c>
      <c r="L20" s="51">
        <f t="shared" si="0"/>
        <v>-2443.4600245573874</v>
      </c>
      <c r="M20" s="61">
        <v>856</v>
      </c>
      <c r="N20" s="61">
        <v>879</v>
      </c>
      <c r="O20" s="61">
        <f t="shared" si="6"/>
        <v>230</v>
      </c>
      <c r="P20" s="39">
        <v>44600</v>
      </c>
      <c r="Q20" s="39">
        <f t="shared" si="7"/>
        <v>8920</v>
      </c>
      <c r="R20" s="52">
        <f t="shared" si="8"/>
        <v>138</v>
      </c>
    </row>
    <row r="21" spans="1:18" ht="18" x14ac:dyDescent="0.25">
      <c r="A21" s="258"/>
      <c r="B21" s="246"/>
      <c r="C21" s="245"/>
      <c r="D21" s="245"/>
      <c r="E21" s="245"/>
      <c r="F21" s="245"/>
      <c r="G21" s="245"/>
      <c r="H21" s="257"/>
      <c r="I21" s="242"/>
      <c r="J21" s="49"/>
      <c r="K21" s="50"/>
      <c r="L21" s="51"/>
      <c r="M21" s="61"/>
      <c r="N21" s="61"/>
      <c r="O21" s="61"/>
      <c r="R21" s="52"/>
    </row>
    <row r="22" spans="1:18" ht="18" x14ac:dyDescent="0.25">
      <c r="A22" s="408">
        <v>3</v>
      </c>
      <c r="B22" s="409" t="s">
        <v>7</v>
      </c>
      <c r="C22" s="409"/>
      <c r="D22" s="409"/>
      <c r="E22" s="409"/>
      <c r="F22" s="409"/>
      <c r="G22" s="406"/>
      <c r="H22" s="407"/>
      <c r="I22" s="242"/>
      <c r="J22" s="49"/>
      <c r="K22" s="50">
        <f t="shared" si="5"/>
        <v>0</v>
      </c>
      <c r="L22" s="51">
        <f t="shared" si="0"/>
        <v>0</v>
      </c>
      <c r="M22" s="61"/>
      <c r="N22" s="61"/>
      <c r="O22" s="61">
        <f t="shared" si="6"/>
        <v>0</v>
      </c>
      <c r="R22" s="52">
        <f t="shared" si="8"/>
        <v>0</v>
      </c>
    </row>
    <row r="23" spans="1:18" ht="18" x14ac:dyDescent="0.25">
      <c r="A23" s="258"/>
      <c r="B23" s="246" t="s">
        <v>0</v>
      </c>
      <c r="C23" s="245">
        <f>G23/10</f>
        <v>524</v>
      </c>
      <c r="D23" s="245">
        <f>H23/10</f>
        <v>547</v>
      </c>
      <c r="E23" s="245">
        <f>C23*6</f>
        <v>3144</v>
      </c>
      <c r="F23" s="245">
        <f>D23*6</f>
        <v>3282</v>
      </c>
      <c r="G23" s="245">
        <f>M23*10+'расчет рожд заезд'!$E$15*10*0.2</f>
        <v>5240</v>
      </c>
      <c r="H23" s="257">
        <f>N23*10+'расчет рожд заезд'!$E$15*10*0.2</f>
        <v>5470</v>
      </c>
      <c r="I23" s="242">
        <v>8642.2919045745566</v>
      </c>
      <c r="J23" s="49">
        <f>(G23/I23-1)*100</f>
        <v>-39.367935521521183</v>
      </c>
      <c r="K23" s="50">
        <f t="shared" si="5"/>
        <v>9074.4064998032845</v>
      </c>
      <c r="L23" s="51">
        <f t="shared" si="0"/>
        <v>-3834.4064998032845</v>
      </c>
      <c r="M23" s="61">
        <v>456</v>
      </c>
      <c r="N23" s="61">
        <v>479</v>
      </c>
      <c r="O23" s="61">
        <f t="shared" si="6"/>
        <v>230</v>
      </c>
      <c r="P23" s="39">
        <v>24600</v>
      </c>
      <c r="Q23" s="39">
        <f t="shared" si="7"/>
        <v>4920</v>
      </c>
      <c r="R23" s="52">
        <f t="shared" si="8"/>
        <v>138</v>
      </c>
    </row>
    <row r="24" spans="1:18" ht="18" x14ac:dyDescent="0.25">
      <c r="A24" s="260"/>
      <c r="B24" s="246" t="s">
        <v>1</v>
      </c>
      <c r="C24" s="245">
        <f t="shared" ref="C24:C25" si="13">G24/10</f>
        <v>492</v>
      </c>
      <c r="D24" s="245">
        <f t="shared" ref="D24:D25" si="14">H24/10</f>
        <v>515</v>
      </c>
      <c r="E24" s="245">
        <f t="shared" ref="E24:E25" si="15">C24*6</f>
        <v>2952</v>
      </c>
      <c r="F24" s="245">
        <f t="shared" ref="F24:F25" si="16">D24*6</f>
        <v>3090</v>
      </c>
      <c r="G24" s="245">
        <f>M24*10+'расчет рожд заезд'!$E$15*10*0.2</f>
        <v>4920</v>
      </c>
      <c r="H24" s="257">
        <f>N24*10+'расчет рожд заезд'!$E$15*10*0.2</f>
        <v>5150</v>
      </c>
      <c r="I24" s="242">
        <v>8005.5846546729144</v>
      </c>
      <c r="J24" s="49">
        <f>(G24/I24-1)*100</f>
        <v>-38.542902083632804</v>
      </c>
      <c r="K24" s="50">
        <f t="shared" si="5"/>
        <v>8405.86388740656</v>
      </c>
      <c r="L24" s="51">
        <f t="shared" si="0"/>
        <v>-3485.86388740656</v>
      </c>
      <c r="M24" s="61">
        <v>424</v>
      </c>
      <c r="N24" s="61">
        <v>447</v>
      </c>
      <c r="O24" s="61">
        <f t="shared" si="6"/>
        <v>230</v>
      </c>
      <c r="P24" s="39">
        <v>23000</v>
      </c>
      <c r="Q24" s="39">
        <f t="shared" si="7"/>
        <v>4600</v>
      </c>
      <c r="R24" s="52">
        <f t="shared" si="8"/>
        <v>138</v>
      </c>
    </row>
    <row r="25" spans="1:18" ht="18" x14ac:dyDescent="0.25">
      <c r="A25" s="258"/>
      <c r="B25" s="246" t="s">
        <v>2</v>
      </c>
      <c r="C25" s="245">
        <f t="shared" si="13"/>
        <v>954</v>
      </c>
      <c r="D25" s="245">
        <f t="shared" si="14"/>
        <v>977</v>
      </c>
      <c r="E25" s="245">
        <f t="shared" si="15"/>
        <v>5724</v>
      </c>
      <c r="F25" s="245">
        <f t="shared" si="16"/>
        <v>5862</v>
      </c>
      <c r="G25" s="245">
        <f>M25*10+'расчет рожд заезд'!$E$15*10*0.2</f>
        <v>9540</v>
      </c>
      <c r="H25" s="257">
        <f>N25*10+'расчет рожд заезд'!$E$15*10*0.2</f>
        <v>9770</v>
      </c>
      <c r="I25" s="242">
        <v>11619.85678529275</v>
      </c>
      <c r="J25" s="49">
        <f>(G25/I25-1)*100</f>
        <v>-17.899160236856137</v>
      </c>
      <c r="K25" s="50">
        <f t="shared" si="5"/>
        <v>12200.849624557388</v>
      </c>
      <c r="L25" s="51">
        <f t="shared" si="0"/>
        <v>-2660.8496245573879</v>
      </c>
      <c r="M25" s="61">
        <v>886</v>
      </c>
      <c r="N25" s="61">
        <v>909</v>
      </c>
      <c r="O25" s="61">
        <f t="shared" si="6"/>
        <v>230</v>
      </c>
      <c r="P25" s="39">
        <v>46100</v>
      </c>
      <c r="Q25" s="39">
        <f t="shared" si="7"/>
        <v>9220</v>
      </c>
      <c r="R25" s="52">
        <f t="shared" si="8"/>
        <v>138</v>
      </c>
    </row>
    <row r="26" spans="1:18" ht="18" x14ac:dyDescent="0.25">
      <c r="A26" s="258"/>
      <c r="B26" s="246"/>
      <c r="C26" s="245"/>
      <c r="D26" s="245"/>
      <c r="E26" s="245"/>
      <c r="F26" s="245"/>
      <c r="G26" s="245"/>
      <c r="H26" s="257"/>
      <c r="I26" s="242"/>
      <c r="J26" s="49"/>
      <c r="K26" s="50"/>
      <c r="L26" s="51"/>
      <c r="M26" s="61"/>
      <c r="N26" s="61"/>
      <c r="O26" s="61"/>
      <c r="R26" s="52"/>
    </row>
    <row r="27" spans="1:18" ht="18" x14ac:dyDescent="0.25">
      <c r="A27" s="408">
        <v>4</v>
      </c>
      <c r="B27" s="409" t="s">
        <v>8</v>
      </c>
      <c r="C27" s="409"/>
      <c r="D27" s="409"/>
      <c r="E27" s="409"/>
      <c r="F27" s="409"/>
      <c r="G27" s="406"/>
      <c r="H27" s="407"/>
      <c r="I27" s="242"/>
      <c r="J27" s="49"/>
      <c r="K27" s="50">
        <f t="shared" si="5"/>
        <v>0</v>
      </c>
      <c r="L27" s="51">
        <f t="shared" si="0"/>
        <v>0</v>
      </c>
      <c r="M27" s="61"/>
      <c r="N27" s="61"/>
      <c r="O27" s="61">
        <f t="shared" si="6"/>
        <v>0</v>
      </c>
      <c r="R27" s="52">
        <f t="shared" si="8"/>
        <v>0</v>
      </c>
    </row>
    <row r="28" spans="1:18" ht="18" x14ac:dyDescent="0.25">
      <c r="A28" s="259"/>
      <c r="B28" s="246" t="s">
        <v>9</v>
      </c>
      <c r="C28" s="245">
        <f>G28/10</f>
        <v>352</v>
      </c>
      <c r="D28" s="245">
        <f>H28/10</f>
        <v>375</v>
      </c>
      <c r="E28" s="245">
        <f>C28*6</f>
        <v>2112</v>
      </c>
      <c r="F28" s="245">
        <f>D28*6</f>
        <v>2250</v>
      </c>
      <c r="G28" s="245">
        <f>M28*10+'расчет рожд заезд'!$E$15*10*0.2</f>
        <v>3520</v>
      </c>
      <c r="H28" s="257">
        <f>N28*10+'расчет рожд заезд'!$E$15*10*0.2</f>
        <v>3750</v>
      </c>
      <c r="I28" s="242">
        <v>5300.5299446904301</v>
      </c>
      <c r="J28" s="49">
        <f>(G28/I28-1)*100</f>
        <v>-33.591545812772864</v>
      </c>
      <c r="K28" s="50">
        <f t="shared" si="5"/>
        <v>5565.5564419249522</v>
      </c>
      <c r="L28" s="51">
        <f t="shared" si="0"/>
        <v>-2045.5564419249522</v>
      </c>
      <c r="M28" s="61">
        <v>284</v>
      </c>
      <c r="N28" s="61">
        <v>307</v>
      </c>
      <c r="O28" s="61">
        <f t="shared" si="6"/>
        <v>230</v>
      </c>
      <c r="P28" s="39">
        <v>16000</v>
      </c>
      <c r="Q28" s="39">
        <f t="shared" si="7"/>
        <v>3200</v>
      </c>
      <c r="R28" s="52">
        <f t="shared" si="8"/>
        <v>138</v>
      </c>
    </row>
    <row r="29" spans="1:18" ht="18" x14ac:dyDescent="0.25">
      <c r="A29" s="259"/>
      <c r="B29" s="246" t="s">
        <v>10</v>
      </c>
      <c r="C29" s="245">
        <f t="shared" ref="C29:C30" si="17">G29/10</f>
        <v>390</v>
      </c>
      <c r="D29" s="245">
        <f t="shared" ref="D29:D30" si="18">H29/10</f>
        <v>413</v>
      </c>
      <c r="E29" s="245">
        <f t="shared" ref="E29:E30" si="19">C29*6</f>
        <v>2340</v>
      </c>
      <c r="F29" s="245">
        <f t="shared" ref="F29:F30" si="20">D29*6</f>
        <v>2478</v>
      </c>
      <c r="G29" s="245">
        <f>M29*10+'расчет рожд заезд'!$E$15*10*0.2</f>
        <v>3900</v>
      </c>
      <c r="H29" s="257">
        <f>N29*10+'расчет рожд заезд'!$E$15*10*0.2</f>
        <v>4130</v>
      </c>
      <c r="I29" s="242">
        <v>6005.8579446904305</v>
      </c>
      <c r="J29" s="49">
        <f>(G29/I29-1)*100</f>
        <v>-35.063399169341757</v>
      </c>
      <c r="K29" s="50">
        <f t="shared" si="5"/>
        <v>6306.1508419249521</v>
      </c>
      <c r="L29" s="51">
        <f t="shared" si="0"/>
        <v>-2406.1508419249521</v>
      </c>
      <c r="M29" s="61">
        <v>322</v>
      </c>
      <c r="N29" s="61">
        <v>345</v>
      </c>
      <c r="O29" s="61">
        <f t="shared" si="6"/>
        <v>230</v>
      </c>
      <c r="P29" s="39">
        <v>17900</v>
      </c>
      <c r="Q29" s="39">
        <f t="shared" si="7"/>
        <v>3580</v>
      </c>
      <c r="R29" s="52">
        <f t="shared" si="8"/>
        <v>138</v>
      </c>
    </row>
    <row r="30" spans="1:18" ht="18" x14ac:dyDescent="0.25">
      <c r="A30" s="259"/>
      <c r="B30" s="246" t="s">
        <v>11</v>
      </c>
      <c r="C30" s="245">
        <f t="shared" si="17"/>
        <v>418</v>
      </c>
      <c r="D30" s="245">
        <f t="shared" si="18"/>
        <v>441</v>
      </c>
      <c r="E30" s="245">
        <f t="shared" si="19"/>
        <v>2508</v>
      </c>
      <c r="F30" s="245">
        <f t="shared" si="20"/>
        <v>2646</v>
      </c>
      <c r="G30" s="245">
        <f>M30*10+'расчет рожд заезд'!$E$15*10*0.2</f>
        <v>4180</v>
      </c>
      <c r="H30" s="257">
        <f>N30*10+'расчет рожд заезд'!$E$15*10*0.2</f>
        <v>4410</v>
      </c>
      <c r="I30" s="242"/>
      <c r="J30" s="49"/>
      <c r="K30" s="50"/>
      <c r="L30" s="51"/>
      <c r="M30" s="61">
        <v>350</v>
      </c>
      <c r="N30" s="61">
        <v>373</v>
      </c>
      <c r="O30" s="61">
        <f t="shared" si="6"/>
        <v>230</v>
      </c>
      <c r="P30" s="39">
        <v>19300</v>
      </c>
      <c r="Q30" s="39">
        <f t="shared" si="7"/>
        <v>3860</v>
      </c>
      <c r="R30" s="52">
        <f t="shared" si="8"/>
        <v>138</v>
      </c>
    </row>
    <row r="31" spans="1:18" ht="18" x14ac:dyDescent="0.25">
      <c r="A31" s="259"/>
      <c r="B31" s="249"/>
      <c r="C31" s="250"/>
      <c r="D31" s="250"/>
      <c r="E31" s="250"/>
      <c r="F31" s="250"/>
      <c r="G31" s="245"/>
      <c r="H31" s="257"/>
      <c r="I31" s="242"/>
      <c r="J31" s="49"/>
      <c r="K31" s="50"/>
      <c r="L31" s="51"/>
      <c r="M31" s="61"/>
      <c r="N31" s="61"/>
      <c r="O31" s="61"/>
      <c r="R31" s="52"/>
    </row>
    <row r="32" spans="1:18" ht="18" x14ac:dyDescent="0.25">
      <c r="A32" s="408">
        <v>5</v>
      </c>
      <c r="B32" s="410" t="s">
        <v>35</v>
      </c>
      <c r="C32" s="410"/>
      <c r="D32" s="410"/>
      <c r="E32" s="410"/>
      <c r="F32" s="410"/>
      <c r="G32" s="406">
        <f>M32*10+'расчет рожд заезд'!$E$15*10*0.2</f>
        <v>3060</v>
      </c>
      <c r="H32" s="407">
        <f>N32*10+'расчет рожд заезд'!$E$15*10*0.2</f>
        <v>3290</v>
      </c>
      <c r="I32" s="242">
        <v>3601.3445550144165</v>
      </c>
      <c r="J32" s="49">
        <f>(G32/I32-1)*100</f>
        <v>-15.031734585369305</v>
      </c>
      <c r="K32" s="50">
        <f t="shared" si="5"/>
        <v>3781.4117827651376</v>
      </c>
      <c r="L32" s="51">
        <f>G32-K32</f>
        <v>-721.41178276513756</v>
      </c>
      <c r="M32" s="61">
        <v>238</v>
      </c>
      <c r="N32" s="61">
        <v>261</v>
      </c>
      <c r="O32" s="61">
        <f t="shared" si="6"/>
        <v>230</v>
      </c>
      <c r="P32" s="39">
        <v>13700</v>
      </c>
      <c r="Q32" s="39">
        <f t="shared" si="7"/>
        <v>2740</v>
      </c>
      <c r="R32" s="52">
        <f t="shared" si="8"/>
        <v>0</v>
      </c>
    </row>
    <row r="33" spans="1:18" ht="18" x14ac:dyDescent="0.25">
      <c r="A33" s="259"/>
      <c r="B33" s="247"/>
      <c r="C33" s="247"/>
      <c r="D33" s="247"/>
      <c r="E33" s="247"/>
      <c r="F33" s="247"/>
      <c r="G33" s="245"/>
      <c r="H33" s="257"/>
      <c r="I33" s="242"/>
      <c r="J33" s="49"/>
      <c r="K33" s="50"/>
      <c r="L33" s="51"/>
      <c r="M33" s="61"/>
      <c r="N33" s="61"/>
      <c r="O33" s="61"/>
      <c r="R33" s="52"/>
    </row>
    <row r="34" spans="1:18" ht="18" x14ac:dyDescent="0.25">
      <c r="A34" s="408">
        <v>6</v>
      </c>
      <c r="B34" s="411" t="s">
        <v>12</v>
      </c>
      <c r="C34" s="411"/>
      <c r="D34" s="411"/>
      <c r="E34" s="411"/>
      <c r="F34" s="411"/>
      <c r="G34" s="406"/>
      <c r="H34" s="407"/>
      <c r="I34" s="242"/>
      <c r="J34" s="49"/>
      <c r="K34" s="50"/>
      <c r="L34" s="51"/>
      <c r="M34" s="61"/>
      <c r="N34" s="61"/>
      <c r="O34" s="61">
        <f t="shared" si="6"/>
        <v>0</v>
      </c>
      <c r="R34" s="52">
        <f t="shared" si="8"/>
        <v>0</v>
      </c>
    </row>
    <row r="35" spans="1:18" ht="18" x14ac:dyDescent="0.25">
      <c r="A35" s="259"/>
      <c r="B35" s="248" t="s">
        <v>1</v>
      </c>
      <c r="C35" s="245">
        <f>G35/10</f>
        <v>336</v>
      </c>
      <c r="D35" s="245">
        <f>H35/10</f>
        <v>359</v>
      </c>
      <c r="E35" s="245">
        <f>C35*6</f>
        <v>2016</v>
      </c>
      <c r="F35" s="245">
        <f>D35*6</f>
        <v>2154</v>
      </c>
      <c r="G35" s="245">
        <f>M35*10+'расчет рожд заезд'!$E$15*10*0.2</f>
        <v>3360</v>
      </c>
      <c r="H35" s="257">
        <f>N35*10+'расчет рожд заезд'!$E$15*10*0.2</f>
        <v>3590</v>
      </c>
      <c r="I35" s="242"/>
      <c r="J35" s="49"/>
      <c r="K35" s="50"/>
      <c r="L35" s="51"/>
      <c r="M35" s="61">
        <v>268</v>
      </c>
      <c r="N35" s="61">
        <v>291</v>
      </c>
      <c r="O35" s="61">
        <f t="shared" si="6"/>
        <v>230</v>
      </c>
      <c r="P35" s="39">
        <v>15200</v>
      </c>
      <c r="Q35" s="39">
        <f t="shared" si="7"/>
        <v>3040</v>
      </c>
      <c r="R35" s="52">
        <f t="shared" si="8"/>
        <v>138</v>
      </c>
    </row>
    <row r="36" spans="1:18" ht="18" x14ac:dyDescent="0.25">
      <c r="A36" s="259"/>
      <c r="B36" s="248"/>
      <c r="C36" s="245"/>
      <c r="D36" s="245"/>
      <c r="E36" s="245"/>
      <c r="F36" s="245"/>
      <c r="G36" s="245"/>
      <c r="H36" s="257"/>
      <c r="I36" s="242"/>
      <c r="J36" s="49"/>
      <c r="K36" s="50"/>
      <c r="L36" s="51"/>
      <c r="M36" s="61"/>
      <c r="N36" s="61"/>
      <c r="O36" s="61"/>
      <c r="R36" s="52"/>
    </row>
    <row r="37" spans="1:18" ht="18" x14ac:dyDescent="0.25">
      <c r="A37" s="408">
        <v>7</v>
      </c>
      <c r="B37" s="411" t="s">
        <v>13</v>
      </c>
      <c r="C37" s="411"/>
      <c r="D37" s="411"/>
      <c r="E37" s="411"/>
      <c r="F37" s="411"/>
      <c r="G37" s="406"/>
      <c r="H37" s="407"/>
      <c r="I37" s="242"/>
      <c r="J37" s="49"/>
      <c r="K37" s="50"/>
      <c r="L37" s="51"/>
      <c r="M37" s="61"/>
      <c r="N37" s="61"/>
      <c r="O37" s="61">
        <f t="shared" si="6"/>
        <v>0</v>
      </c>
      <c r="R37" s="52">
        <f t="shared" si="8"/>
        <v>0</v>
      </c>
    </row>
    <row r="38" spans="1:18" ht="18" x14ac:dyDescent="0.25">
      <c r="A38" s="259"/>
      <c r="B38" s="248" t="s">
        <v>1</v>
      </c>
      <c r="C38" s="245">
        <f>G38/10</f>
        <v>364</v>
      </c>
      <c r="D38" s="245">
        <f>H38/10</f>
        <v>387</v>
      </c>
      <c r="E38" s="245">
        <f>C38*6</f>
        <v>2184</v>
      </c>
      <c r="F38" s="245">
        <f>D38*6</f>
        <v>2322</v>
      </c>
      <c r="G38" s="245">
        <f>M38*10+'расчет рожд заезд'!$E$15*10*0.2</f>
        <v>3640</v>
      </c>
      <c r="H38" s="257">
        <f>N38*10+'расчет рожд заезд'!$E$15*10*0.2</f>
        <v>3870</v>
      </c>
      <c r="I38" s="242"/>
      <c r="J38" s="49"/>
      <c r="K38" s="50"/>
      <c r="L38" s="51"/>
      <c r="M38" s="61">
        <v>296</v>
      </c>
      <c r="N38" s="61">
        <v>319</v>
      </c>
      <c r="O38" s="61">
        <f t="shared" si="6"/>
        <v>230</v>
      </c>
      <c r="P38" s="39">
        <v>16600</v>
      </c>
      <c r="Q38" s="39">
        <f t="shared" si="7"/>
        <v>3320</v>
      </c>
      <c r="R38" s="52">
        <f t="shared" si="8"/>
        <v>138</v>
      </c>
    </row>
    <row r="39" spans="1:18" ht="18" x14ac:dyDescent="0.25">
      <c r="A39" s="259"/>
      <c r="B39" s="248"/>
      <c r="C39" s="245"/>
      <c r="D39" s="245"/>
      <c r="E39" s="245"/>
      <c r="F39" s="245"/>
      <c r="G39" s="245"/>
      <c r="H39" s="257"/>
      <c r="I39" s="242"/>
      <c r="J39" s="49"/>
      <c r="K39" s="50"/>
      <c r="L39" s="51"/>
      <c r="M39" s="61"/>
      <c r="N39" s="61"/>
      <c r="O39" s="61"/>
      <c r="R39" s="52"/>
    </row>
    <row r="40" spans="1:18" ht="18" x14ac:dyDescent="0.25">
      <c r="A40" s="408">
        <v>8</v>
      </c>
      <c r="B40" s="411" t="s">
        <v>14</v>
      </c>
      <c r="C40" s="411"/>
      <c r="D40" s="411"/>
      <c r="E40" s="411"/>
      <c r="F40" s="411"/>
      <c r="G40" s="406"/>
      <c r="H40" s="407"/>
      <c r="I40" s="242"/>
      <c r="J40" s="49"/>
      <c r="K40" s="50"/>
      <c r="L40" s="51"/>
      <c r="M40" s="61"/>
      <c r="N40" s="61"/>
      <c r="O40" s="61">
        <f t="shared" si="6"/>
        <v>0</v>
      </c>
      <c r="R40" s="52">
        <f t="shared" si="8"/>
        <v>0</v>
      </c>
    </row>
    <row r="41" spans="1:18" ht="18" x14ac:dyDescent="0.25">
      <c r="A41" s="259"/>
      <c r="B41" s="248" t="s">
        <v>1</v>
      </c>
      <c r="C41" s="245">
        <f>G41/10</f>
        <v>386</v>
      </c>
      <c r="D41" s="245">
        <f>H41/10</f>
        <v>409</v>
      </c>
      <c r="E41" s="245">
        <f>C41*6</f>
        <v>2316</v>
      </c>
      <c r="F41" s="245">
        <f>D41*6</f>
        <v>2454</v>
      </c>
      <c r="G41" s="245">
        <f>M41*10+'расчет рожд заезд'!$E$15*10*0.2</f>
        <v>3860</v>
      </c>
      <c r="H41" s="257">
        <f>N41*10+'расчет рожд заезд'!$E$15*10*0.2</f>
        <v>4090</v>
      </c>
      <c r="I41" s="242"/>
      <c r="J41" s="49"/>
      <c r="K41" s="50"/>
      <c r="L41" s="51"/>
      <c r="M41" s="61">
        <v>318</v>
      </c>
      <c r="N41" s="61">
        <v>341</v>
      </c>
      <c r="O41" s="61">
        <f t="shared" si="6"/>
        <v>230</v>
      </c>
      <c r="P41" s="39">
        <v>17700</v>
      </c>
      <c r="Q41" s="39">
        <f t="shared" si="7"/>
        <v>3540</v>
      </c>
      <c r="R41" s="52">
        <f t="shared" si="8"/>
        <v>138</v>
      </c>
    </row>
    <row r="42" spans="1:18" ht="18" x14ac:dyDescent="0.25">
      <c r="A42" s="259"/>
      <c r="B42" s="248"/>
      <c r="C42" s="245"/>
      <c r="D42" s="245"/>
      <c r="E42" s="245"/>
      <c r="F42" s="245"/>
      <c r="G42" s="245"/>
      <c r="H42" s="257"/>
      <c r="I42" s="242"/>
      <c r="J42" s="49"/>
      <c r="K42" s="50"/>
      <c r="L42" s="51"/>
      <c r="M42" s="61"/>
      <c r="N42" s="61"/>
      <c r="O42" s="61"/>
      <c r="R42" s="52"/>
    </row>
    <row r="43" spans="1:18" ht="18" x14ac:dyDescent="0.25">
      <c r="A43" s="408">
        <v>9</v>
      </c>
      <c r="B43" s="411" t="s">
        <v>89</v>
      </c>
      <c r="C43" s="411"/>
      <c r="D43" s="411"/>
      <c r="E43" s="411"/>
      <c r="F43" s="411"/>
      <c r="G43" s="406"/>
      <c r="H43" s="407"/>
      <c r="I43" s="242"/>
      <c r="J43" s="49"/>
      <c r="K43" s="50"/>
      <c r="L43" s="51"/>
      <c r="M43" s="61"/>
      <c r="N43" s="61"/>
      <c r="O43" s="61">
        <f t="shared" si="6"/>
        <v>0</v>
      </c>
      <c r="R43" s="52">
        <f t="shared" si="8"/>
        <v>0</v>
      </c>
    </row>
    <row r="44" spans="1:18" ht="18" x14ac:dyDescent="0.25">
      <c r="A44" s="259"/>
      <c r="B44" s="248" t="s">
        <v>9</v>
      </c>
      <c r="C44" s="245">
        <f t="shared" ref="C44:D48" si="21">G44/10</f>
        <v>282</v>
      </c>
      <c r="D44" s="245">
        <f t="shared" si="21"/>
        <v>305</v>
      </c>
      <c r="E44" s="245">
        <f>C44*6</f>
        <v>1692</v>
      </c>
      <c r="F44" s="245">
        <f>D44*6</f>
        <v>1830</v>
      </c>
      <c r="G44" s="245">
        <f>M44*10+'расчет рожд заезд'!$E$15*10*0.2</f>
        <v>2820</v>
      </c>
      <c r="H44" s="257">
        <f>N44*10+'расчет рожд заезд'!$E$15*10*0.2</f>
        <v>3050</v>
      </c>
      <c r="I44" s="242"/>
      <c r="J44" s="49"/>
      <c r="K44" s="50"/>
      <c r="L44" s="51"/>
      <c r="M44" s="61">
        <v>214</v>
      </c>
      <c r="N44" s="61">
        <v>237</v>
      </c>
      <c r="O44" s="61">
        <f t="shared" si="6"/>
        <v>230</v>
      </c>
      <c r="P44" s="39">
        <v>12500</v>
      </c>
      <c r="Q44" s="39">
        <f t="shared" si="7"/>
        <v>2500</v>
      </c>
      <c r="R44" s="52">
        <f t="shared" si="8"/>
        <v>138</v>
      </c>
    </row>
    <row r="45" spans="1:18" ht="18" x14ac:dyDescent="0.25">
      <c r="A45" s="259"/>
      <c r="B45" s="248" t="s">
        <v>10</v>
      </c>
      <c r="C45" s="245">
        <f t="shared" si="21"/>
        <v>308</v>
      </c>
      <c r="D45" s="245">
        <f t="shared" si="21"/>
        <v>331</v>
      </c>
      <c r="E45" s="245">
        <f t="shared" ref="E45:E46" si="22">C45*6</f>
        <v>1848</v>
      </c>
      <c r="F45" s="245">
        <f t="shared" ref="F45:F46" si="23">D45*6</f>
        <v>1986</v>
      </c>
      <c r="G45" s="245">
        <f>M45*10+'расчет рожд заезд'!$E$15*10*0.2</f>
        <v>3080</v>
      </c>
      <c r="H45" s="257">
        <f>N45*10+'расчет рожд заезд'!$E$15*10*0.2</f>
        <v>3310</v>
      </c>
      <c r="I45" s="242"/>
      <c r="J45" s="49"/>
      <c r="K45" s="50"/>
      <c r="L45" s="51"/>
      <c r="M45" s="61">
        <v>240</v>
      </c>
      <c r="N45" s="61">
        <v>263</v>
      </c>
      <c r="O45" s="61">
        <f t="shared" si="6"/>
        <v>230</v>
      </c>
      <c r="P45" s="39">
        <v>13800</v>
      </c>
      <c r="Q45" s="39">
        <f t="shared" si="7"/>
        <v>2760</v>
      </c>
      <c r="R45" s="52">
        <f t="shared" si="8"/>
        <v>138</v>
      </c>
    </row>
    <row r="46" spans="1:18" ht="18" x14ac:dyDescent="0.25">
      <c r="A46" s="259"/>
      <c r="B46" s="248" t="s">
        <v>11</v>
      </c>
      <c r="C46" s="245">
        <f t="shared" si="21"/>
        <v>330</v>
      </c>
      <c r="D46" s="245">
        <f t="shared" si="21"/>
        <v>353</v>
      </c>
      <c r="E46" s="245">
        <f t="shared" si="22"/>
        <v>1980</v>
      </c>
      <c r="F46" s="245">
        <f t="shared" si="23"/>
        <v>2118</v>
      </c>
      <c r="G46" s="245">
        <f>M46*10+'расчет рожд заезд'!$E$15*10*0.2</f>
        <v>3300</v>
      </c>
      <c r="H46" s="257">
        <f>N46*10+'расчет рожд заезд'!$E$15*10*0.2</f>
        <v>3530</v>
      </c>
      <c r="I46" s="242"/>
      <c r="J46" s="49"/>
      <c r="K46" s="50"/>
      <c r="L46" s="51"/>
      <c r="M46" s="61">
        <v>262</v>
      </c>
      <c r="N46" s="61">
        <v>285</v>
      </c>
      <c r="O46" s="61">
        <f t="shared" si="6"/>
        <v>230</v>
      </c>
      <c r="P46" s="39">
        <v>14900</v>
      </c>
      <c r="Q46" s="39">
        <f t="shared" si="7"/>
        <v>2980</v>
      </c>
      <c r="R46" s="52">
        <f t="shared" si="8"/>
        <v>138</v>
      </c>
    </row>
    <row r="47" spans="1:18" ht="18" x14ac:dyDescent="0.25">
      <c r="A47" s="259"/>
      <c r="B47" s="248"/>
      <c r="C47" s="245"/>
      <c r="D47" s="245"/>
      <c r="E47" s="245"/>
      <c r="F47" s="245"/>
      <c r="G47" s="245"/>
      <c r="H47" s="257"/>
      <c r="I47" s="242"/>
      <c r="J47" s="49"/>
      <c r="K47" s="50"/>
      <c r="L47" s="51"/>
      <c r="M47" s="61"/>
      <c r="N47" s="61"/>
      <c r="O47" s="61"/>
      <c r="R47" s="52"/>
    </row>
    <row r="48" spans="1:18" ht="36" customHeight="1" x14ac:dyDescent="0.25">
      <c r="A48" s="408">
        <v>10</v>
      </c>
      <c r="B48" s="412" t="s">
        <v>112</v>
      </c>
      <c r="C48" s="403">
        <f t="shared" si="21"/>
        <v>246</v>
      </c>
      <c r="D48" s="403">
        <f t="shared" si="21"/>
        <v>269</v>
      </c>
      <c r="E48" s="406">
        <f t="shared" ref="E48" si="24">C48*6</f>
        <v>1476</v>
      </c>
      <c r="F48" s="406">
        <f t="shared" ref="F48" si="25">D48*6</f>
        <v>1614</v>
      </c>
      <c r="G48" s="406">
        <f>M48*10+'расчет рожд заезд'!$E$15*10*0.2</f>
        <v>2460</v>
      </c>
      <c r="H48" s="407">
        <f>N48*10+'расчет рожд заезд'!$E$15*10*0.2</f>
        <v>2690</v>
      </c>
      <c r="I48" s="242"/>
      <c r="J48" s="49"/>
      <c r="K48" s="50"/>
      <c r="L48" s="51"/>
      <c r="M48" s="61">
        <v>178</v>
      </c>
      <c r="N48" s="61">
        <v>201</v>
      </c>
      <c r="O48" s="61">
        <f t="shared" si="6"/>
        <v>230</v>
      </c>
      <c r="P48" s="39">
        <v>10700</v>
      </c>
      <c r="Q48" s="39">
        <f t="shared" si="7"/>
        <v>2140</v>
      </c>
      <c r="R48" s="52">
        <f t="shared" si="8"/>
        <v>138</v>
      </c>
    </row>
    <row r="49" spans="1:18" ht="18" x14ac:dyDescent="0.25">
      <c r="A49" s="261"/>
      <c r="B49" s="252"/>
      <c r="C49" s="253"/>
      <c r="D49" s="253"/>
      <c r="E49" s="253"/>
      <c r="F49" s="253"/>
      <c r="G49" s="253"/>
      <c r="H49" s="262"/>
      <c r="I49" s="242"/>
      <c r="J49" s="49"/>
      <c r="K49" s="50"/>
      <c r="L49" s="51"/>
      <c r="M49" s="61"/>
      <c r="N49" s="61"/>
      <c r="O49" s="61"/>
      <c r="R49" s="52"/>
    </row>
    <row r="50" spans="1:18" ht="47.25" customHeight="1" x14ac:dyDescent="0.25">
      <c r="A50" s="418" t="s">
        <v>44</v>
      </c>
      <c r="B50" s="419"/>
      <c r="C50" s="419"/>
      <c r="D50" s="419"/>
      <c r="E50" s="419"/>
      <c r="F50" s="419"/>
      <c r="G50" s="419"/>
      <c r="H50" s="420"/>
      <c r="I50" s="254"/>
      <c r="J50" s="49"/>
      <c r="K50" s="39">
        <f t="shared" si="5"/>
        <v>0</v>
      </c>
      <c r="L50" s="52">
        <f t="shared" ref="L50:L63" si="26">G50-K50</f>
        <v>0</v>
      </c>
      <c r="M50" s="61"/>
      <c r="N50" s="61"/>
      <c r="O50" s="61">
        <f t="shared" si="6"/>
        <v>0</v>
      </c>
      <c r="R50" s="52">
        <f t="shared" si="8"/>
        <v>0</v>
      </c>
    </row>
    <row r="51" spans="1:18" ht="12" customHeight="1" x14ac:dyDescent="0.25">
      <c r="A51" s="263"/>
      <c r="B51" s="251"/>
      <c r="C51" s="251"/>
      <c r="D51" s="251"/>
      <c r="E51" s="251"/>
      <c r="F51" s="251"/>
      <c r="G51" s="251"/>
      <c r="H51" s="264"/>
      <c r="I51" s="254"/>
      <c r="J51" s="49"/>
      <c r="L51" s="52"/>
      <c r="M51" s="61"/>
      <c r="N51" s="61"/>
      <c r="O51" s="61"/>
      <c r="R51" s="52"/>
    </row>
    <row r="52" spans="1:18" ht="18" x14ac:dyDescent="0.25">
      <c r="A52" s="408">
        <v>1</v>
      </c>
      <c r="B52" s="409" t="s">
        <v>6</v>
      </c>
      <c r="C52" s="409"/>
      <c r="D52" s="409"/>
      <c r="E52" s="409"/>
      <c r="F52" s="409"/>
      <c r="G52" s="406"/>
      <c r="H52" s="407"/>
      <c r="I52" s="254"/>
      <c r="J52" s="49"/>
      <c r="K52" s="39">
        <f t="shared" si="5"/>
        <v>0</v>
      </c>
      <c r="L52" s="52">
        <f t="shared" si="26"/>
        <v>0</v>
      </c>
      <c r="M52" s="61"/>
      <c r="N52" s="61"/>
      <c r="O52" s="61">
        <f t="shared" si="6"/>
        <v>0</v>
      </c>
      <c r="R52" s="52">
        <f t="shared" si="8"/>
        <v>0</v>
      </c>
    </row>
    <row r="53" spans="1:18" ht="18" x14ac:dyDescent="0.25">
      <c r="A53" s="258"/>
      <c r="B53" s="246" t="s">
        <v>0</v>
      </c>
      <c r="C53" s="245">
        <f>G53/10</f>
        <v>247</v>
      </c>
      <c r="D53" s="245">
        <f>H53/10</f>
        <v>270</v>
      </c>
      <c r="E53" s="245">
        <f>C53*6</f>
        <v>1482</v>
      </c>
      <c r="F53" s="245">
        <f>D53*6</f>
        <v>1620</v>
      </c>
      <c r="G53" s="245">
        <f>G18/2</f>
        <v>2470</v>
      </c>
      <c r="H53" s="257">
        <f>G53+23*10</f>
        <v>2700</v>
      </c>
      <c r="I53" s="255">
        <v>4074.7699522872781</v>
      </c>
      <c r="J53" s="49">
        <f>(G53/I53-1)*100</f>
        <v>-39.383081034709157</v>
      </c>
      <c r="K53" s="39">
        <f t="shared" si="5"/>
        <v>4278.5084499016421</v>
      </c>
      <c r="L53" s="52">
        <f t="shared" si="26"/>
        <v>-1808.5084499016421</v>
      </c>
      <c r="M53" s="13">
        <v>213</v>
      </c>
      <c r="N53" s="13">
        <v>236</v>
      </c>
      <c r="O53" s="61">
        <f>H53-G53</f>
        <v>230</v>
      </c>
      <c r="P53" s="39">
        <f>G53/10</f>
        <v>247</v>
      </c>
      <c r="R53" s="52">
        <f t="shared" si="8"/>
        <v>138</v>
      </c>
    </row>
    <row r="54" spans="1:18" ht="18" x14ac:dyDescent="0.25">
      <c r="A54" s="258"/>
      <c r="B54" s="246" t="s">
        <v>1</v>
      </c>
      <c r="C54" s="245">
        <f>G54/10</f>
        <v>231</v>
      </c>
      <c r="D54" s="245">
        <f>H54/10</f>
        <v>254</v>
      </c>
      <c r="E54" s="245">
        <f>C54*6</f>
        <v>1386</v>
      </c>
      <c r="F54" s="245">
        <f>D54*6</f>
        <v>1524</v>
      </c>
      <c r="G54" s="245">
        <f>G19/2</f>
        <v>2310</v>
      </c>
      <c r="H54" s="257">
        <f t="shared" ref="H54:H79" si="27">G54+23*10</f>
        <v>2540</v>
      </c>
      <c r="I54" s="255">
        <v>3756.416327336457</v>
      </c>
      <c r="J54" s="49">
        <f>(G54/I54-1)*100</f>
        <v>-38.505218838777125</v>
      </c>
      <c r="K54" s="39">
        <f t="shared" si="5"/>
        <v>3944.2371437032803</v>
      </c>
      <c r="L54" s="52">
        <f t="shared" si="26"/>
        <v>-1634.2371437032803</v>
      </c>
      <c r="M54" s="13">
        <v>197</v>
      </c>
      <c r="N54" s="13">
        <v>220</v>
      </c>
      <c r="O54" s="61">
        <f t="shared" si="6"/>
        <v>230</v>
      </c>
      <c r="R54" s="52">
        <f t="shared" si="8"/>
        <v>138</v>
      </c>
    </row>
    <row r="55" spans="1:18" ht="18" x14ac:dyDescent="0.25">
      <c r="A55" s="258"/>
      <c r="B55" s="246"/>
      <c r="C55" s="245"/>
      <c r="D55" s="245"/>
      <c r="E55" s="245"/>
      <c r="F55" s="245"/>
      <c r="G55" s="245"/>
      <c r="H55" s="257"/>
      <c r="I55" s="255"/>
      <c r="J55" s="49"/>
      <c r="L55" s="52"/>
      <c r="M55" s="237"/>
      <c r="N55" s="237"/>
      <c r="O55" s="61"/>
      <c r="R55" s="52"/>
    </row>
    <row r="56" spans="1:18" ht="18" x14ac:dyDescent="0.25">
      <c r="A56" s="408">
        <v>2</v>
      </c>
      <c r="B56" s="409" t="s">
        <v>7</v>
      </c>
      <c r="C56" s="409"/>
      <c r="D56" s="409"/>
      <c r="E56" s="413"/>
      <c r="F56" s="413"/>
      <c r="G56" s="406"/>
      <c r="H56" s="407"/>
      <c r="I56" s="221"/>
      <c r="J56" s="49"/>
      <c r="K56" s="39">
        <f t="shared" si="5"/>
        <v>0</v>
      </c>
      <c r="L56" s="52">
        <f t="shared" si="26"/>
        <v>0</v>
      </c>
      <c r="M56" s="174"/>
      <c r="N56" s="174"/>
      <c r="O56" s="61">
        <f t="shared" si="6"/>
        <v>0</v>
      </c>
      <c r="R56" s="52">
        <f t="shared" si="8"/>
        <v>0</v>
      </c>
    </row>
    <row r="57" spans="1:18" ht="18" x14ac:dyDescent="0.25">
      <c r="A57" s="258"/>
      <c r="B57" s="246" t="s">
        <v>0</v>
      </c>
      <c r="C57" s="245">
        <f>G57/10</f>
        <v>262</v>
      </c>
      <c r="D57" s="245">
        <f>H57/10</f>
        <v>285</v>
      </c>
      <c r="E57" s="245">
        <f>C57*6</f>
        <v>1572</v>
      </c>
      <c r="F57" s="245">
        <f>D57*6</f>
        <v>1710</v>
      </c>
      <c r="G57" s="245">
        <f>G23/2</f>
        <v>2620</v>
      </c>
      <c r="H57" s="257">
        <f t="shared" si="27"/>
        <v>2850</v>
      </c>
      <c r="I57" s="221">
        <v>4321.1459522872783</v>
      </c>
      <c r="J57" s="49">
        <f>(G57/I57-1)*100</f>
        <v>-39.367935521521183</v>
      </c>
      <c r="K57" s="39">
        <f t="shared" si="5"/>
        <v>4537.2032499016423</v>
      </c>
      <c r="L57" s="52">
        <f t="shared" si="26"/>
        <v>-1917.2032499016423</v>
      </c>
      <c r="M57" s="13">
        <v>228</v>
      </c>
      <c r="N57" s="13">
        <v>251</v>
      </c>
      <c r="O57" s="61">
        <f t="shared" si="6"/>
        <v>230</v>
      </c>
      <c r="R57" s="52">
        <f t="shared" si="8"/>
        <v>138</v>
      </c>
    </row>
    <row r="58" spans="1:18" ht="18" x14ac:dyDescent="0.25">
      <c r="A58" s="258"/>
      <c r="B58" s="246" t="s">
        <v>1</v>
      </c>
      <c r="C58" s="245">
        <f>G58/10</f>
        <v>246</v>
      </c>
      <c r="D58" s="245">
        <f>H58/10</f>
        <v>269</v>
      </c>
      <c r="E58" s="245">
        <f>C58*6</f>
        <v>1476</v>
      </c>
      <c r="F58" s="245">
        <f>D58*6</f>
        <v>1614</v>
      </c>
      <c r="G58" s="245">
        <f>G24/2</f>
        <v>2460</v>
      </c>
      <c r="H58" s="257">
        <f t="shared" si="27"/>
        <v>2690</v>
      </c>
      <c r="I58" s="221">
        <v>4002.7923273364572</v>
      </c>
      <c r="J58" s="49">
        <f>(G58/I58-1)*100</f>
        <v>-38.542902083632804</v>
      </c>
      <c r="K58" s="39">
        <f t="shared" si="5"/>
        <v>4202.93194370328</v>
      </c>
      <c r="L58" s="52">
        <f t="shared" si="26"/>
        <v>-1742.93194370328</v>
      </c>
      <c r="M58" s="13">
        <v>212</v>
      </c>
      <c r="N58" s="13">
        <v>235</v>
      </c>
      <c r="O58" s="61">
        <f t="shared" si="6"/>
        <v>230</v>
      </c>
      <c r="R58" s="52">
        <f t="shared" si="8"/>
        <v>138</v>
      </c>
    </row>
    <row r="59" spans="1:18" ht="18" x14ac:dyDescent="0.25">
      <c r="A59" s="258"/>
      <c r="B59" s="246"/>
      <c r="C59" s="245"/>
      <c r="D59" s="245"/>
      <c r="E59" s="245"/>
      <c r="F59" s="245"/>
      <c r="G59" s="245"/>
      <c r="H59" s="257"/>
      <c r="I59" s="221"/>
      <c r="J59" s="49"/>
      <c r="L59" s="52"/>
      <c r="M59" s="237"/>
      <c r="N59" s="237"/>
      <c r="O59" s="61"/>
      <c r="R59" s="52"/>
    </row>
    <row r="60" spans="1:18" ht="18" x14ac:dyDescent="0.25">
      <c r="A60" s="408">
        <v>3</v>
      </c>
      <c r="B60" s="409" t="s">
        <v>8</v>
      </c>
      <c r="C60" s="409"/>
      <c r="D60" s="409"/>
      <c r="E60" s="413"/>
      <c r="F60" s="413"/>
      <c r="G60" s="406"/>
      <c r="H60" s="407"/>
      <c r="I60" s="221"/>
      <c r="J60" s="49"/>
      <c r="K60" s="39">
        <f t="shared" si="5"/>
        <v>0</v>
      </c>
      <c r="L60" s="52">
        <f t="shared" si="26"/>
        <v>0</v>
      </c>
      <c r="M60" s="174"/>
      <c r="N60" s="174"/>
      <c r="O60" s="61">
        <f t="shared" si="6"/>
        <v>0</v>
      </c>
      <c r="R60" s="52">
        <f t="shared" si="8"/>
        <v>0</v>
      </c>
    </row>
    <row r="61" spans="1:18" ht="18" x14ac:dyDescent="0.25">
      <c r="A61" s="259"/>
      <c r="B61" s="246" t="s">
        <v>9</v>
      </c>
      <c r="C61" s="245">
        <f t="shared" ref="C61:D63" si="28">G61/10</f>
        <v>176</v>
      </c>
      <c r="D61" s="245">
        <f t="shared" si="28"/>
        <v>199</v>
      </c>
      <c r="E61" s="245">
        <f t="shared" ref="E61:F63" si="29">C61*6</f>
        <v>1056</v>
      </c>
      <c r="F61" s="245">
        <f t="shared" si="29"/>
        <v>1194</v>
      </c>
      <c r="G61" s="245">
        <f>G28/2</f>
        <v>1760</v>
      </c>
      <c r="H61" s="257">
        <f t="shared" si="27"/>
        <v>1990</v>
      </c>
      <c r="I61" s="221">
        <v>2650.264972345215</v>
      </c>
      <c r="J61" s="49">
        <f>(G61/I61-1)*100</f>
        <v>-33.591545812772864</v>
      </c>
      <c r="K61" s="39">
        <f t="shared" si="5"/>
        <v>2782.7782209624761</v>
      </c>
      <c r="L61" s="52">
        <f t="shared" si="26"/>
        <v>-1022.7782209624761</v>
      </c>
      <c r="M61" s="13">
        <v>142</v>
      </c>
      <c r="N61" s="13">
        <v>165</v>
      </c>
      <c r="O61" s="61">
        <f t="shared" si="6"/>
        <v>230</v>
      </c>
      <c r="R61" s="52">
        <f t="shared" si="8"/>
        <v>138</v>
      </c>
    </row>
    <row r="62" spans="1:18" ht="18" x14ac:dyDescent="0.25">
      <c r="A62" s="259"/>
      <c r="B62" s="246" t="s">
        <v>10</v>
      </c>
      <c r="C62" s="245">
        <f t="shared" si="28"/>
        <v>195</v>
      </c>
      <c r="D62" s="245">
        <f t="shared" si="28"/>
        <v>218</v>
      </c>
      <c r="E62" s="245">
        <f t="shared" si="29"/>
        <v>1170</v>
      </c>
      <c r="F62" s="245">
        <f t="shared" si="29"/>
        <v>1308</v>
      </c>
      <c r="G62" s="245">
        <f>G29/2</f>
        <v>1950</v>
      </c>
      <c r="H62" s="257">
        <f t="shared" si="27"/>
        <v>2180</v>
      </c>
      <c r="I62" s="221">
        <v>3002.9289723452152</v>
      </c>
      <c r="J62" s="49">
        <f>(G62/I62-1)*100</f>
        <v>-35.063399169341757</v>
      </c>
      <c r="K62" s="39">
        <f t="shared" si="5"/>
        <v>3153.0754209624761</v>
      </c>
      <c r="L62" s="52">
        <f t="shared" si="26"/>
        <v>-1203.0754209624761</v>
      </c>
      <c r="M62" s="13">
        <v>161</v>
      </c>
      <c r="N62" s="13">
        <v>184</v>
      </c>
      <c r="O62" s="61">
        <f t="shared" si="6"/>
        <v>230</v>
      </c>
      <c r="R62" s="52">
        <f t="shared" si="8"/>
        <v>138</v>
      </c>
    </row>
    <row r="63" spans="1:18" ht="18" x14ac:dyDescent="0.25">
      <c r="A63" s="259"/>
      <c r="B63" s="246" t="s">
        <v>11</v>
      </c>
      <c r="C63" s="245">
        <f t="shared" si="28"/>
        <v>209</v>
      </c>
      <c r="D63" s="245">
        <f t="shared" si="28"/>
        <v>232</v>
      </c>
      <c r="E63" s="245">
        <f t="shared" si="29"/>
        <v>1254</v>
      </c>
      <c r="F63" s="245">
        <f t="shared" si="29"/>
        <v>1392</v>
      </c>
      <c r="G63" s="245">
        <f>G30/2</f>
        <v>2090</v>
      </c>
      <c r="H63" s="257">
        <f t="shared" si="27"/>
        <v>2320</v>
      </c>
      <c r="I63" s="221">
        <v>3153.35056792045</v>
      </c>
      <c r="J63" s="49">
        <f>(G63/I63-1)*100</f>
        <v>-33.721292479754361</v>
      </c>
      <c r="K63" s="39">
        <f t="shared" si="5"/>
        <v>3311.0180963164726</v>
      </c>
      <c r="L63" s="52">
        <f t="shared" si="26"/>
        <v>-1221.0180963164726</v>
      </c>
      <c r="M63" s="13">
        <v>175</v>
      </c>
      <c r="N63" s="13">
        <v>198</v>
      </c>
      <c r="O63" s="61">
        <f t="shared" si="6"/>
        <v>230</v>
      </c>
      <c r="R63" s="52">
        <f t="shared" si="8"/>
        <v>138</v>
      </c>
    </row>
    <row r="64" spans="1:18" ht="18" x14ac:dyDescent="0.25">
      <c r="A64" s="259"/>
      <c r="B64" s="246"/>
      <c r="C64" s="245"/>
      <c r="D64" s="245"/>
      <c r="E64" s="245"/>
      <c r="F64" s="245"/>
      <c r="G64" s="245"/>
      <c r="H64" s="257"/>
      <c r="I64" s="203"/>
      <c r="J64" s="204"/>
      <c r="L64" s="52"/>
      <c r="M64" s="237"/>
      <c r="N64" s="237"/>
      <c r="O64" s="61"/>
      <c r="R64" s="52"/>
    </row>
    <row r="65" spans="1:18" ht="18" x14ac:dyDescent="0.25">
      <c r="A65" s="408">
        <v>4</v>
      </c>
      <c r="B65" s="411" t="s">
        <v>12</v>
      </c>
      <c r="C65" s="411"/>
      <c r="D65" s="411"/>
      <c r="E65" s="411"/>
      <c r="F65" s="411"/>
      <c r="G65" s="406"/>
      <c r="H65" s="407"/>
      <c r="I65" s="203"/>
      <c r="J65" s="204"/>
      <c r="L65" s="52"/>
      <c r="M65" s="174"/>
      <c r="N65" s="174"/>
      <c r="O65" s="61">
        <f t="shared" si="6"/>
        <v>0</v>
      </c>
      <c r="R65" s="52">
        <f t="shared" si="8"/>
        <v>0</v>
      </c>
    </row>
    <row r="66" spans="1:18" ht="18" x14ac:dyDescent="0.25">
      <c r="A66" s="259"/>
      <c r="B66" s="248" t="s">
        <v>1</v>
      </c>
      <c r="C66" s="245">
        <f>G66/10</f>
        <v>168</v>
      </c>
      <c r="D66" s="245">
        <f>H66/10</f>
        <v>191</v>
      </c>
      <c r="E66" s="245">
        <f>C66*6</f>
        <v>1008</v>
      </c>
      <c r="F66" s="245">
        <f>D66*6</f>
        <v>1146</v>
      </c>
      <c r="G66" s="245">
        <f>G35/2</f>
        <v>1680</v>
      </c>
      <c r="H66" s="257">
        <f t="shared" si="27"/>
        <v>1910</v>
      </c>
      <c r="I66" s="203"/>
      <c r="J66" s="204"/>
      <c r="L66" s="52"/>
      <c r="M66" s="13">
        <v>134</v>
      </c>
      <c r="N66" s="13">
        <v>157</v>
      </c>
      <c r="O66" s="61">
        <f t="shared" si="6"/>
        <v>230</v>
      </c>
      <c r="R66" s="52">
        <f t="shared" si="8"/>
        <v>138</v>
      </c>
    </row>
    <row r="67" spans="1:18" ht="18" x14ac:dyDescent="0.25">
      <c r="A67" s="259"/>
      <c r="B67" s="248"/>
      <c r="C67" s="245"/>
      <c r="D67" s="245"/>
      <c r="E67" s="245"/>
      <c r="F67" s="245"/>
      <c r="G67" s="245"/>
      <c r="H67" s="257"/>
      <c r="I67" s="203"/>
      <c r="J67" s="204"/>
      <c r="L67" s="52"/>
      <c r="M67" s="237"/>
      <c r="N67" s="237"/>
      <c r="O67" s="61"/>
      <c r="R67" s="52"/>
    </row>
    <row r="68" spans="1:18" ht="18" x14ac:dyDescent="0.25">
      <c r="A68" s="408">
        <v>5</v>
      </c>
      <c r="B68" s="411" t="s">
        <v>13</v>
      </c>
      <c r="C68" s="411"/>
      <c r="D68" s="411"/>
      <c r="E68" s="411"/>
      <c r="F68" s="411"/>
      <c r="G68" s="406"/>
      <c r="H68" s="407"/>
      <c r="I68" s="203"/>
      <c r="J68" s="204"/>
      <c r="L68" s="52"/>
      <c r="M68" s="174"/>
      <c r="N68" s="174"/>
      <c r="O68" s="61">
        <f t="shared" si="6"/>
        <v>0</v>
      </c>
      <c r="R68" s="52">
        <f t="shared" si="8"/>
        <v>0</v>
      </c>
    </row>
    <row r="69" spans="1:18" ht="18" x14ac:dyDescent="0.25">
      <c r="A69" s="259"/>
      <c r="B69" s="248" t="s">
        <v>1</v>
      </c>
      <c r="C69" s="245">
        <f>G69/10</f>
        <v>182</v>
      </c>
      <c r="D69" s="245">
        <f>H69/10</f>
        <v>205</v>
      </c>
      <c r="E69" s="245">
        <f>C69*6</f>
        <v>1092</v>
      </c>
      <c r="F69" s="245">
        <f>D69*6</f>
        <v>1230</v>
      </c>
      <c r="G69" s="245">
        <f>G38/2</f>
        <v>1820</v>
      </c>
      <c r="H69" s="257">
        <f t="shared" si="27"/>
        <v>2050</v>
      </c>
      <c r="I69" s="203"/>
      <c r="J69" s="204"/>
      <c r="L69" s="52"/>
      <c r="M69" s="13">
        <v>148</v>
      </c>
      <c r="N69" s="13">
        <v>171</v>
      </c>
      <c r="O69" s="61">
        <f t="shared" si="6"/>
        <v>230</v>
      </c>
      <c r="R69" s="52">
        <f t="shared" si="8"/>
        <v>138</v>
      </c>
    </row>
    <row r="70" spans="1:18" ht="18" x14ac:dyDescent="0.25">
      <c r="A70" s="259"/>
      <c r="B70" s="248"/>
      <c r="C70" s="245"/>
      <c r="D70" s="245"/>
      <c r="E70" s="245"/>
      <c r="F70" s="245"/>
      <c r="G70" s="245"/>
      <c r="H70" s="257"/>
      <c r="I70" s="203"/>
      <c r="J70" s="204"/>
      <c r="L70" s="52"/>
      <c r="M70" s="237"/>
      <c r="N70" s="237"/>
      <c r="O70" s="61"/>
      <c r="R70" s="52"/>
    </row>
    <row r="71" spans="1:18" ht="18" x14ac:dyDescent="0.25">
      <c r="A71" s="408">
        <v>6</v>
      </c>
      <c r="B71" s="411" t="s">
        <v>14</v>
      </c>
      <c r="C71" s="411"/>
      <c r="D71" s="411"/>
      <c r="E71" s="411"/>
      <c r="F71" s="411"/>
      <c r="G71" s="406"/>
      <c r="H71" s="407"/>
      <c r="I71" s="203"/>
      <c r="J71" s="204"/>
      <c r="L71" s="52"/>
      <c r="M71" s="174"/>
      <c r="N71" s="174"/>
      <c r="O71" s="61">
        <f t="shared" si="6"/>
        <v>0</v>
      </c>
      <c r="R71" s="52">
        <f t="shared" si="8"/>
        <v>0</v>
      </c>
    </row>
    <row r="72" spans="1:18" ht="18" x14ac:dyDescent="0.25">
      <c r="A72" s="259"/>
      <c r="B72" s="248" t="s">
        <v>1</v>
      </c>
      <c r="C72" s="245">
        <f>G72/10</f>
        <v>193</v>
      </c>
      <c r="D72" s="245">
        <f>H72/10</f>
        <v>216</v>
      </c>
      <c r="E72" s="245">
        <f>C72*6</f>
        <v>1158</v>
      </c>
      <c r="F72" s="245">
        <f>D72*6</f>
        <v>1296</v>
      </c>
      <c r="G72" s="245">
        <f>G41/2</f>
        <v>1930</v>
      </c>
      <c r="H72" s="257">
        <f t="shared" si="27"/>
        <v>2160</v>
      </c>
      <c r="I72" s="203"/>
      <c r="J72" s="204"/>
      <c r="L72" s="52"/>
      <c r="M72" s="13">
        <v>159</v>
      </c>
      <c r="N72" s="13">
        <v>182</v>
      </c>
      <c r="O72" s="61">
        <f t="shared" si="6"/>
        <v>230</v>
      </c>
      <c r="R72" s="52">
        <f t="shared" si="8"/>
        <v>138</v>
      </c>
    </row>
    <row r="73" spans="1:18" ht="18" x14ac:dyDescent="0.25">
      <c r="A73" s="259"/>
      <c r="B73" s="248"/>
      <c r="C73" s="245"/>
      <c r="D73" s="245"/>
      <c r="E73" s="245"/>
      <c r="F73" s="245"/>
      <c r="G73" s="245"/>
      <c r="H73" s="257"/>
      <c r="I73" s="203"/>
      <c r="J73" s="204"/>
      <c r="L73" s="52"/>
      <c r="M73" s="237"/>
      <c r="N73" s="237"/>
      <c r="O73" s="61"/>
      <c r="R73" s="52"/>
    </row>
    <row r="74" spans="1:18" ht="18" x14ac:dyDescent="0.25">
      <c r="A74" s="408">
        <v>7</v>
      </c>
      <c r="B74" s="411" t="s">
        <v>89</v>
      </c>
      <c r="C74" s="411"/>
      <c r="D74" s="411"/>
      <c r="E74" s="411"/>
      <c r="F74" s="411"/>
      <c r="G74" s="406"/>
      <c r="H74" s="407"/>
      <c r="I74" s="203"/>
      <c r="J74" s="204"/>
      <c r="L74" s="52"/>
      <c r="M74" s="174"/>
      <c r="N74" s="174"/>
      <c r="O74" s="61">
        <f t="shared" si="6"/>
        <v>0</v>
      </c>
      <c r="R74" s="52">
        <f t="shared" si="8"/>
        <v>0</v>
      </c>
    </row>
    <row r="75" spans="1:18" ht="18" x14ac:dyDescent="0.25">
      <c r="A75" s="259"/>
      <c r="B75" s="248" t="s">
        <v>9</v>
      </c>
      <c r="C75" s="245">
        <f>G75/10</f>
        <v>141</v>
      </c>
      <c r="D75" s="245">
        <f>H75/10</f>
        <v>164</v>
      </c>
      <c r="E75" s="245">
        <f t="shared" ref="E75:F79" si="30">C75*6</f>
        <v>846</v>
      </c>
      <c r="F75" s="245">
        <f t="shared" si="30"/>
        <v>984</v>
      </c>
      <c r="G75" s="245">
        <f>G44/2</f>
        <v>1410</v>
      </c>
      <c r="H75" s="257">
        <f t="shared" si="27"/>
        <v>1640</v>
      </c>
      <c r="I75" s="38"/>
      <c r="J75" s="38"/>
      <c r="M75" s="13">
        <v>107</v>
      </c>
      <c r="N75" s="13">
        <v>130</v>
      </c>
      <c r="O75" s="61">
        <f t="shared" si="6"/>
        <v>230</v>
      </c>
      <c r="R75" s="52">
        <f t="shared" si="8"/>
        <v>138</v>
      </c>
    </row>
    <row r="76" spans="1:18" ht="18" customHeight="1" x14ac:dyDescent="0.25">
      <c r="A76" s="259"/>
      <c r="B76" s="248" t="s">
        <v>10</v>
      </c>
      <c r="C76" s="245">
        <f t="shared" ref="C76:C77" si="31">G76/10</f>
        <v>154</v>
      </c>
      <c r="D76" s="245">
        <f t="shared" ref="D76:D77" si="32">H76/10</f>
        <v>177</v>
      </c>
      <c r="E76" s="245">
        <f t="shared" si="30"/>
        <v>924</v>
      </c>
      <c r="F76" s="245">
        <f t="shared" si="30"/>
        <v>1062</v>
      </c>
      <c r="G76" s="245">
        <f>G45/2</f>
        <v>1540</v>
      </c>
      <c r="H76" s="257">
        <f t="shared" si="27"/>
        <v>1770</v>
      </c>
      <c r="I76" s="38"/>
      <c r="J76" s="38"/>
      <c r="M76" s="13">
        <v>120</v>
      </c>
      <c r="N76" s="13">
        <v>143</v>
      </c>
      <c r="O76" s="61">
        <f t="shared" si="6"/>
        <v>230</v>
      </c>
      <c r="R76" s="52">
        <f t="shared" si="8"/>
        <v>138</v>
      </c>
    </row>
    <row r="77" spans="1:18" ht="15" customHeight="1" x14ac:dyDescent="0.25">
      <c r="A77" s="259"/>
      <c r="B77" s="248" t="s">
        <v>11</v>
      </c>
      <c r="C77" s="245">
        <f t="shared" si="31"/>
        <v>165</v>
      </c>
      <c r="D77" s="245">
        <f t="shared" si="32"/>
        <v>188</v>
      </c>
      <c r="E77" s="245">
        <f t="shared" si="30"/>
        <v>990</v>
      </c>
      <c r="F77" s="245">
        <f t="shared" si="30"/>
        <v>1128</v>
      </c>
      <c r="G77" s="245">
        <f>G46/2</f>
        <v>1650</v>
      </c>
      <c r="H77" s="257">
        <f t="shared" si="27"/>
        <v>1880</v>
      </c>
      <c r="I77" s="38"/>
      <c r="J77" s="38"/>
      <c r="M77" s="13">
        <v>131</v>
      </c>
      <c r="N77" s="13">
        <v>154</v>
      </c>
      <c r="O77" s="61">
        <f t="shared" si="6"/>
        <v>230</v>
      </c>
      <c r="R77" s="52">
        <f t="shared" si="8"/>
        <v>138</v>
      </c>
    </row>
    <row r="78" spans="1:18" ht="15" customHeight="1" x14ac:dyDescent="0.25">
      <c r="A78" s="259"/>
      <c r="B78" s="248"/>
      <c r="C78" s="245"/>
      <c r="D78" s="245"/>
      <c r="E78" s="245"/>
      <c r="F78" s="245"/>
      <c r="G78" s="245"/>
      <c r="H78" s="257"/>
      <c r="I78" s="38"/>
      <c r="J78" s="38"/>
      <c r="M78" s="237"/>
      <c r="N78" s="237"/>
      <c r="O78" s="61"/>
      <c r="R78" s="52"/>
    </row>
    <row r="79" spans="1:18" ht="15" customHeight="1" thickBot="1" x14ac:dyDescent="0.3">
      <c r="A79" s="414">
        <v>8</v>
      </c>
      <c r="B79" s="415" t="s">
        <v>115</v>
      </c>
      <c r="C79" s="416">
        <f t="shared" ref="C79" si="33">G79/10</f>
        <v>123</v>
      </c>
      <c r="D79" s="416">
        <f t="shared" ref="D79" si="34">H79/10</f>
        <v>146</v>
      </c>
      <c r="E79" s="416">
        <f t="shared" si="30"/>
        <v>738</v>
      </c>
      <c r="F79" s="416">
        <f t="shared" si="30"/>
        <v>876</v>
      </c>
      <c r="G79" s="416">
        <f>G48/2</f>
        <v>1230</v>
      </c>
      <c r="H79" s="417">
        <f t="shared" si="27"/>
        <v>1460</v>
      </c>
      <c r="I79" s="38"/>
      <c r="J79" s="38"/>
      <c r="M79" s="174">
        <v>89</v>
      </c>
      <c r="N79" s="174">
        <v>112</v>
      </c>
      <c r="O79" s="61">
        <f t="shared" si="6"/>
        <v>230</v>
      </c>
      <c r="R79" s="52">
        <f t="shared" si="8"/>
        <v>138</v>
      </c>
    </row>
    <row r="80" spans="1:18" x14ac:dyDescent="0.25">
      <c r="A80" s="55"/>
      <c r="B80" s="55"/>
      <c r="C80" s="55"/>
      <c r="D80" s="55"/>
      <c r="E80" s="55"/>
      <c r="F80" s="55"/>
      <c r="G80" s="56"/>
      <c r="H80" s="56"/>
      <c r="I80" s="38"/>
      <c r="J80" s="38"/>
    </row>
  </sheetData>
  <mergeCells count="14">
    <mergeCell ref="A11:H11"/>
    <mergeCell ref="A50:H50"/>
    <mergeCell ref="G9:H9"/>
    <mergeCell ref="E8:H8"/>
    <mergeCell ref="E9:F9"/>
    <mergeCell ref="C9:D9"/>
    <mergeCell ref="C8:D8"/>
    <mergeCell ref="A2:H2"/>
    <mergeCell ref="A3:H3"/>
    <mergeCell ref="A4:H4"/>
    <mergeCell ref="A5:H5"/>
    <mergeCell ref="A6:H6"/>
    <mergeCell ref="A8:A10"/>
    <mergeCell ref="B8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стор</vt:lpstr>
      <vt:lpstr>лпк пол ст-ть</vt:lpstr>
      <vt:lpstr>лпк </vt:lpstr>
      <vt:lpstr>стор %</vt:lpstr>
      <vt:lpstr>лпк пол ст-ть %</vt:lpstr>
      <vt:lpstr>сторон нозологии</vt:lpstr>
      <vt:lpstr>расчет рожд заезд</vt:lpstr>
      <vt:lpstr>лпк пол ст-ть рождествен</vt:lpstr>
      <vt:lpstr>лпк  рождествен</vt:lpstr>
      <vt:lpstr>% лечения</vt:lpstr>
      <vt:lpstr>'% лечения'!Область_печати</vt:lpstr>
      <vt:lpstr>'лпк '!Область_печати</vt:lpstr>
      <vt:lpstr>'лпк  рождествен'!Область_печати</vt:lpstr>
      <vt:lpstr>'лпк пол ст-ть'!Область_печати</vt:lpstr>
      <vt:lpstr>'лпк пол ст-ть %'!Область_печати</vt:lpstr>
      <vt:lpstr>'лпк пол ст-ть рождествен'!Область_печати</vt:lpstr>
      <vt:lpstr>стор!Область_печати</vt:lpstr>
      <vt:lpstr>'стор %'!Область_печати</vt:lpstr>
      <vt:lpstr>'сторон нозологии'!Область_печати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2019-11-01T11:43:17Z</dcterms:modified>
</cp:coreProperties>
</file>